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yanAtanassov.AzureAD\Documents\"/>
    </mc:Choice>
  </mc:AlternateContent>
  <xr:revisionPtr revIDLastSave="0" documentId="8_{A0A60013-A0D2-4338-BEB5-31F8FA2D01A9}" xr6:coauthVersionLast="47" xr6:coauthVersionMax="47" xr10:uidLastSave="{00000000-0000-0000-0000-000000000000}"/>
  <bookViews>
    <workbookView xWindow="29625" yWindow="945" windowWidth="36930" windowHeight="19470" xr2:uid="{E34B7836-A8FF-45C7-8D29-F786C313ABD5}"/>
  </bookViews>
  <sheets>
    <sheet name="RoadMapEURUSD" sheetId="1" r:id="rId1"/>
    <sheet name="Math" sheetId="2" r:id="rId2"/>
    <sheet name="Au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C2" i="3"/>
  <c r="Q14" i="1"/>
  <c r="H77" i="2"/>
  <c r="H76" i="2"/>
  <c r="H75" i="2"/>
  <c r="H74" i="2"/>
  <c r="H73" i="2"/>
  <c r="E16" i="2"/>
  <c r="F16" i="2" s="1"/>
  <c r="E15" i="2"/>
  <c r="F15" i="2" s="1"/>
  <c r="J14" i="2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V17" i="1" l="1"/>
  <c r="Y17" i="1" s="1"/>
  <c r="U17" i="1"/>
  <c r="C3" i="3" s="1"/>
  <c r="S17" i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T40" i="1" s="1"/>
  <c r="B26" i="3" s="1"/>
  <c r="Y16" i="1"/>
  <c r="W16" i="1"/>
  <c r="T16" i="1"/>
  <c r="B2" i="3" s="1"/>
  <c r="F16" i="1"/>
  <c r="AC15" i="1"/>
  <c r="S6" i="1"/>
  <c r="AA5" i="1"/>
  <c r="AD5" i="1" s="1"/>
  <c r="S7" i="1" l="1"/>
  <c r="U6" i="1"/>
  <c r="AC16" i="1"/>
  <c r="AA16" i="1" s="1"/>
  <c r="T17" i="1"/>
  <c r="B3" i="3" s="1"/>
  <c r="T25" i="1"/>
  <c r="B11" i="3" s="1"/>
  <c r="T33" i="1"/>
  <c r="B19" i="3" s="1"/>
  <c r="T18" i="1"/>
  <c r="B4" i="3" s="1"/>
  <c r="T26" i="1"/>
  <c r="B12" i="3" s="1"/>
  <c r="T34" i="1"/>
  <c r="B20" i="3" s="1"/>
  <c r="T23" i="1"/>
  <c r="B9" i="3" s="1"/>
  <c r="T19" i="1"/>
  <c r="B5" i="3" s="1"/>
  <c r="T35" i="1"/>
  <c r="B21" i="3" s="1"/>
  <c r="T20" i="1"/>
  <c r="B6" i="3" s="1"/>
  <c r="T28" i="1"/>
  <c r="B14" i="3" s="1"/>
  <c r="T36" i="1"/>
  <c r="B22" i="3" s="1"/>
  <c r="T31" i="1"/>
  <c r="B17" i="3" s="1"/>
  <c r="T27" i="1"/>
  <c r="B13" i="3" s="1"/>
  <c r="T21" i="1"/>
  <c r="B7" i="3" s="1"/>
  <c r="T29" i="1"/>
  <c r="B15" i="3" s="1"/>
  <c r="T37" i="1"/>
  <c r="B23" i="3" s="1"/>
  <c r="T22" i="1"/>
  <c r="B8" i="3" s="1"/>
  <c r="T30" i="1"/>
  <c r="B16" i="3" s="1"/>
  <c r="T38" i="1"/>
  <c r="B24" i="3" s="1"/>
  <c r="T39" i="1"/>
  <c r="B25" i="3" s="1"/>
  <c r="T24" i="1"/>
  <c r="B10" i="3" s="1"/>
  <c r="T32" i="1"/>
  <c r="B18" i="3" s="1"/>
  <c r="W17" i="1"/>
  <c r="V18" i="1"/>
  <c r="Y18" i="1" s="1"/>
  <c r="AA4" i="1"/>
  <c r="U18" i="1"/>
  <c r="C4" i="3" s="1"/>
  <c r="M16" i="1" l="1"/>
  <c r="N16" i="1" s="1"/>
  <c r="Z16" i="1"/>
  <c r="H16" i="1"/>
  <c r="V19" i="1"/>
  <c r="W18" i="1"/>
  <c r="AB16" i="1"/>
  <c r="G16" i="1" s="1"/>
  <c r="AD16" i="1" s="1"/>
  <c r="AE16" i="1"/>
  <c r="U19" i="1"/>
  <c r="C5" i="3" s="1"/>
  <c r="I16" i="1" l="1"/>
  <c r="F17" i="1" s="1"/>
  <c r="V20" i="1"/>
  <c r="W19" i="1"/>
  <c r="Y19" i="1"/>
  <c r="U20" i="1"/>
  <c r="C6" i="3" s="1"/>
  <c r="J17" i="1" l="1"/>
  <c r="K16" i="1"/>
  <c r="L16" i="1" s="1"/>
  <c r="W20" i="1"/>
  <c r="V21" i="1"/>
  <c r="Y20" i="1"/>
  <c r="U21" i="1"/>
  <c r="C7" i="3" s="1"/>
  <c r="AC17" i="1"/>
  <c r="Y21" i="1" l="1"/>
  <c r="V22" i="1"/>
  <c r="W21" i="1"/>
  <c r="AB17" i="1"/>
  <c r="AA17" i="1"/>
  <c r="AE17" i="1"/>
  <c r="M17" i="1"/>
  <c r="N17" i="1" s="1"/>
  <c r="Z17" i="1"/>
  <c r="H17" i="1"/>
  <c r="X17" i="1"/>
  <c r="U22" i="1"/>
  <c r="C8" i="3" s="1"/>
  <c r="G17" i="1" l="1"/>
  <c r="AD17" i="1" s="1"/>
  <c r="V23" i="1"/>
  <c r="W22" i="1"/>
  <c r="Y22" i="1"/>
  <c r="U23" i="1"/>
  <c r="C9" i="3" s="1"/>
  <c r="I17" i="1"/>
  <c r="W23" i="1" l="1"/>
  <c r="V24" i="1"/>
  <c r="Y23" i="1"/>
  <c r="U24" i="1"/>
  <c r="C10" i="3" s="1"/>
  <c r="F18" i="1"/>
  <c r="J18" i="1"/>
  <c r="K17" i="1"/>
  <c r="L17" i="1" s="1"/>
  <c r="V25" i="1" l="1"/>
  <c r="W24" i="1"/>
  <c r="Y24" i="1"/>
  <c r="U25" i="1"/>
  <c r="C11" i="3" s="1"/>
  <c r="AC18" i="1"/>
  <c r="V26" i="1" l="1"/>
  <c r="Y25" i="1"/>
  <c r="W25" i="1"/>
  <c r="U26" i="1"/>
  <c r="C12" i="3" s="1"/>
  <c r="AA18" i="1"/>
  <c r="AE18" i="1"/>
  <c r="M18" i="1"/>
  <c r="N18" i="1" s="1"/>
  <c r="AB18" i="1"/>
  <c r="H18" i="1"/>
  <c r="X18" i="1"/>
  <c r="Z18" i="1"/>
  <c r="G18" i="1" l="1"/>
  <c r="AD18" i="1" s="1"/>
  <c r="I18" i="1"/>
  <c r="J19" i="1" s="1"/>
  <c r="W26" i="1"/>
  <c r="Y26" i="1"/>
  <c r="V27" i="1"/>
  <c r="U27" i="1"/>
  <c r="C13" i="3" s="1"/>
  <c r="K18" i="1" l="1"/>
  <c r="L18" i="1" s="1"/>
  <c r="F19" i="1"/>
  <c r="AC19" i="1" s="1"/>
  <c r="Y27" i="1"/>
  <c r="V28" i="1"/>
  <c r="W27" i="1"/>
  <c r="U28" i="1"/>
  <c r="C14" i="3" s="1"/>
  <c r="V29" i="1" l="1"/>
  <c r="Y28" i="1"/>
  <c r="W28" i="1"/>
  <c r="AB19" i="1"/>
  <c r="M19" i="1"/>
  <c r="N19" i="1" s="1"/>
  <c r="AE19" i="1"/>
  <c r="AA19" i="1"/>
  <c r="X19" i="1"/>
  <c r="H19" i="1"/>
  <c r="Z19" i="1"/>
  <c r="U29" i="1"/>
  <c r="C15" i="3" s="1"/>
  <c r="G19" i="1" l="1"/>
  <c r="AD19" i="1" s="1"/>
  <c r="Y29" i="1"/>
  <c r="V30" i="1"/>
  <c r="W29" i="1"/>
  <c r="U30" i="1"/>
  <c r="C16" i="3" s="1"/>
  <c r="I19" i="1"/>
  <c r="V31" i="1" l="1"/>
  <c r="Y30" i="1"/>
  <c r="W30" i="1"/>
  <c r="J20" i="1"/>
  <c r="K19" i="1"/>
  <c r="L19" i="1" s="1"/>
  <c r="F20" i="1"/>
  <c r="U31" i="1"/>
  <c r="C17" i="3" s="1"/>
  <c r="W31" i="1" l="1"/>
  <c r="Y31" i="1"/>
  <c r="V32" i="1"/>
  <c r="U32" i="1"/>
  <c r="C18" i="3" s="1"/>
  <c r="AC20" i="1"/>
  <c r="Y32" i="1" l="1"/>
  <c r="W32" i="1"/>
  <c r="V33" i="1"/>
  <c r="AA20" i="1"/>
  <c r="AE20" i="1"/>
  <c r="M20" i="1"/>
  <c r="N20" i="1" s="1"/>
  <c r="AB20" i="1"/>
  <c r="G20" i="1" s="1"/>
  <c r="AD20" i="1" s="1"/>
  <c r="H20" i="1"/>
  <c r="X20" i="1"/>
  <c r="Z20" i="1"/>
  <c r="U33" i="1"/>
  <c r="C19" i="3" s="1"/>
  <c r="V34" i="1" l="1"/>
  <c r="Y33" i="1"/>
  <c r="W33" i="1"/>
  <c r="I20" i="1"/>
  <c r="F21" i="1" s="1"/>
  <c r="U34" i="1"/>
  <c r="C20" i="3" s="1"/>
  <c r="V35" i="1" l="1"/>
  <c r="W34" i="1"/>
  <c r="Y34" i="1"/>
  <c r="K20" i="1"/>
  <c r="L20" i="1" s="1"/>
  <c r="J21" i="1"/>
  <c r="AC21" i="1"/>
  <c r="U35" i="1"/>
  <c r="C21" i="3" s="1"/>
  <c r="W35" i="1" l="1"/>
  <c r="Y35" i="1"/>
  <c r="V36" i="1"/>
  <c r="AB21" i="1"/>
  <c r="M21" i="1"/>
  <c r="N21" i="1" s="1"/>
  <c r="AE21" i="1"/>
  <c r="AA21" i="1"/>
  <c r="X21" i="1"/>
  <c r="H21" i="1"/>
  <c r="Z21" i="1"/>
  <c r="U36" i="1"/>
  <c r="C22" i="3" s="1"/>
  <c r="G21" i="1" l="1"/>
  <c r="AD21" i="1" s="1"/>
  <c r="W36" i="1"/>
  <c r="Y36" i="1"/>
  <c r="V37" i="1"/>
  <c r="I21" i="1"/>
  <c r="J22" i="1" s="1"/>
  <c r="U37" i="1"/>
  <c r="C23" i="3" s="1"/>
  <c r="F22" i="1" l="1"/>
  <c r="AC22" i="1" s="1"/>
  <c r="K21" i="1"/>
  <c r="L21" i="1" s="1"/>
  <c r="Y37" i="1"/>
  <c r="W37" i="1"/>
  <c r="V38" i="1"/>
  <c r="U38" i="1"/>
  <c r="C24" i="3" s="1"/>
  <c r="Y38" i="1" l="1"/>
  <c r="V39" i="1"/>
  <c r="W38" i="1"/>
  <c r="U39" i="1"/>
  <c r="C25" i="3" s="1"/>
  <c r="AE22" i="1"/>
  <c r="AB22" i="1"/>
  <c r="AA22" i="1"/>
  <c r="H22" i="1"/>
  <c r="M22" i="1"/>
  <c r="N22" i="1" s="1"/>
  <c r="X22" i="1"/>
  <c r="Z22" i="1"/>
  <c r="G22" i="1" l="1"/>
  <c r="AD22" i="1" s="1"/>
  <c r="W39" i="1"/>
  <c r="V40" i="1"/>
  <c r="Y39" i="1"/>
  <c r="I22" i="1"/>
  <c r="U40" i="1"/>
  <c r="C26" i="3" s="1"/>
  <c r="Y40" i="1" l="1"/>
  <c r="W40" i="1"/>
  <c r="J23" i="1"/>
  <c r="K22" i="1"/>
  <c r="L22" i="1" s="1"/>
  <c r="F23" i="1"/>
  <c r="AC23" i="1" l="1"/>
  <c r="AE23" i="1" l="1"/>
  <c r="AB23" i="1"/>
  <c r="M23" i="1"/>
  <c r="N23" i="1" s="1"/>
  <c r="AA23" i="1"/>
  <c r="X23" i="1"/>
  <c r="H23" i="1"/>
  <c r="Z23" i="1"/>
  <c r="G23" i="1" l="1"/>
  <c r="AD23" i="1" s="1"/>
  <c r="I23" i="1"/>
  <c r="K23" i="1" s="1"/>
  <c r="L23" i="1" s="1"/>
  <c r="J24" i="1" l="1"/>
  <c r="F24" i="1"/>
  <c r="AC24" i="1" s="1"/>
  <c r="AE24" i="1" l="1"/>
  <c r="AB24" i="1"/>
  <c r="AA24" i="1"/>
  <c r="X24" i="1"/>
  <c r="M24" i="1"/>
  <c r="N24" i="1" s="1"/>
  <c r="H24" i="1"/>
  <c r="Z24" i="1"/>
  <c r="I24" i="1" l="1"/>
  <c r="J25" i="1" s="1"/>
  <c r="G24" i="1"/>
  <c r="AD24" i="1" s="1"/>
  <c r="F25" i="1" l="1"/>
  <c r="AC25" i="1" s="1"/>
  <c r="K24" i="1"/>
  <c r="L24" i="1" s="1"/>
  <c r="AB25" i="1" l="1"/>
  <c r="AA25" i="1"/>
  <c r="M25" i="1"/>
  <c r="N25" i="1" s="1"/>
  <c r="AE25" i="1"/>
  <c r="H25" i="1"/>
  <c r="X25" i="1"/>
  <c r="Z25" i="1"/>
  <c r="I25" i="1" l="1"/>
  <c r="K25" i="1" s="1"/>
  <c r="L25" i="1" s="1"/>
  <c r="G25" i="1"/>
  <c r="AD25" i="1" s="1"/>
  <c r="J26" i="1" l="1"/>
  <c r="F26" i="1"/>
  <c r="AC26" i="1" s="1"/>
  <c r="X26" i="1" l="1"/>
  <c r="AE26" i="1"/>
  <c r="H26" i="1"/>
  <c r="AB26" i="1"/>
  <c r="AA26" i="1"/>
  <c r="M26" i="1"/>
  <c r="N26" i="1" s="1"/>
  <c r="Z26" i="1"/>
  <c r="G26" i="1" l="1"/>
  <c r="AD26" i="1" s="1"/>
  <c r="I26" i="1"/>
  <c r="J27" i="1" s="1"/>
  <c r="K26" i="1" l="1"/>
  <c r="L26" i="1" s="1"/>
  <c r="F27" i="1"/>
  <c r="AC27" i="1" s="1"/>
  <c r="X27" i="1" l="1"/>
  <c r="AE27" i="1"/>
  <c r="AB27" i="1"/>
  <c r="M27" i="1"/>
  <c r="N27" i="1" s="1"/>
  <c r="AA27" i="1"/>
  <c r="H27" i="1"/>
  <c r="Z27" i="1"/>
  <c r="I27" i="1" l="1"/>
  <c r="K27" i="1" s="1"/>
  <c r="L27" i="1" s="1"/>
  <c r="G27" i="1"/>
  <c r="AD27" i="1" s="1"/>
  <c r="F28" i="1" l="1"/>
  <c r="AC28" i="1" s="1"/>
  <c r="J28" i="1"/>
  <c r="M28" i="1" l="1"/>
  <c r="N28" i="1" s="1"/>
  <c r="AE28" i="1"/>
  <c r="AA28" i="1"/>
  <c r="AB28" i="1"/>
  <c r="X28" i="1"/>
  <c r="H28" i="1"/>
  <c r="Z28" i="1"/>
  <c r="G28" i="1" l="1"/>
  <c r="AD28" i="1" s="1"/>
  <c r="I28" i="1"/>
  <c r="K28" i="1" l="1"/>
  <c r="L28" i="1" s="1"/>
  <c r="J29" i="1"/>
  <c r="F29" i="1"/>
  <c r="AC29" i="1" l="1"/>
  <c r="AA29" i="1" l="1"/>
  <c r="M29" i="1"/>
  <c r="N29" i="1" s="1"/>
  <c r="X29" i="1"/>
  <c r="AE29" i="1"/>
  <c r="AB29" i="1"/>
  <c r="H29" i="1"/>
  <c r="Z29" i="1"/>
  <c r="G29" i="1" l="1"/>
  <c r="AD29" i="1" s="1"/>
  <c r="I29" i="1"/>
  <c r="J30" i="1" s="1"/>
  <c r="K29" i="1" l="1"/>
  <c r="L29" i="1" s="1"/>
  <c r="F30" i="1"/>
  <c r="AC30" i="1" s="1"/>
  <c r="AA30" i="1" l="1"/>
  <c r="M30" i="1"/>
  <c r="N30" i="1" s="1"/>
  <c r="AE30" i="1"/>
  <c r="AB30" i="1"/>
  <c r="H30" i="1"/>
  <c r="X30" i="1"/>
  <c r="Z30" i="1"/>
  <c r="G30" i="1" l="1"/>
  <c r="AD30" i="1" s="1"/>
  <c r="I30" i="1"/>
  <c r="J31" i="1" l="1"/>
  <c r="F31" i="1"/>
  <c r="K30" i="1"/>
  <c r="L30" i="1" s="1"/>
  <c r="AC31" i="1" l="1"/>
  <c r="H31" i="1" l="1"/>
  <c r="AB31" i="1"/>
  <c r="AA31" i="1"/>
  <c r="M31" i="1"/>
  <c r="N31" i="1" s="1"/>
  <c r="AE31" i="1"/>
  <c r="X31" i="1"/>
  <c r="Z31" i="1"/>
  <c r="G31" i="1" l="1"/>
  <c r="AD31" i="1" s="1"/>
  <c r="I31" i="1"/>
  <c r="K31" i="1" l="1"/>
  <c r="L31" i="1" s="1"/>
  <c r="J32" i="1"/>
  <c r="F32" i="1"/>
  <c r="AC32" i="1" l="1"/>
  <c r="H32" i="1" l="1"/>
  <c r="AB32" i="1"/>
  <c r="AA32" i="1"/>
  <c r="M32" i="1"/>
  <c r="N32" i="1" s="1"/>
  <c r="AE32" i="1"/>
  <c r="X32" i="1"/>
  <c r="Z32" i="1"/>
  <c r="G32" i="1" l="1"/>
  <c r="AD32" i="1" s="1"/>
  <c r="I32" i="1"/>
  <c r="K32" i="1" s="1"/>
  <c r="L32" i="1" s="1"/>
  <c r="F33" i="1" l="1"/>
  <c r="AC33" i="1" s="1"/>
  <c r="J33" i="1"/>
  <c r="AE33" i="1" l="1"/>
  <c r="AB33" i="1"/>
  <c r="AA33" i="1"/>
  <c r="M33" i="1"/>
  <c r="N33" i="1" s="1"/>
  <c r="H33" i="1"/>
  <c r="X33" i="1"/>
  <c r="Z33" i="1"/>
  <c r="I33" i="1" l="1"/>
  <c r="J34" i="1" s="1"/>
  <c r="G33" i="1"/>
  <c r="AD33" i="1" s="1"/>
  <c r="K33" i="1" l="1"/>
  <c r="L33" i="1" s="1"/>
  <c r="F34" i="1"/>
  <c r="AC34" i="1" s="1"/>
  <c r="X34" i="1" l="1"/>
  <c r="AE34" i="1"/>
  <c r="H34" i="1"/>
  <c r="AB34" i="1"/>
  <c r="AA34" i="1"/>
  <c r="M34" i="1"/>
  <c r="N34" i="1" s="1"/>
  <c r="Z34" i="1"/>
  <c r="G34" i="1" l="1"/>
  <c r="AD34" i="1" s="1"/>
  <c r="I34" i="1"/>
  <c r="K34" i="1" l="1"/>
  <c r="L34" i="1" s="1"/>
  <c r="J35" i="1"/>
  <c r="F35" i="1"/>
  <c r="AC35" i="1" l="1"/>
  <c r="AE35" i="1" l="1"/>
  <c r="AB35" i="1"/>
  <c r="M35" i="1"/>
  <c r="N35" i="1" s="1"/>
  <c r="AA35" i="1"/>
  <c r="H35" i="1"/>
  <c r="X35" i="1"/>
  <c r="Z35" i="1"/>
  <c r="I35" i="1" l="1"/>
  <c r="J36" i="1" s="1"/>
  <c r="G35" i="1"/>
  <c r="AD35" i="1" s="1"/>
  <c r="K35" i="1" l="1"/>
  <c r="L35" i="1" s="1"/>
  <c r="F36" i="1"/>
  <c r="AC36" i="1" s="1"/>
  <c r="M36" i="1" l="1"/>
  <c r="N36" i="1" s="1"/>
  <c r="AE36" i="1"/>
  <c r="AA36" i="1"/>
  <c r="AB36" i="1"/>
  <c r="X36" i="1"/>
  <c r="H36" i="1"/>
  <c r="Z36" i="1"/>
  <c r="I36" i="1" l="1"/>
  <c r="F37" i="1" s="1"/>
  <c r="G36" i="1"/>
  <c r="AD36" i="1" s="1"/>
  <c r="K36" i="1" l="1"/>
  <c r="L36" i="1" s="1"/>
  <c r="J37" i="1"/>
  <c r="AC37" i="1"/>
  <c r="AA37" i="1" l="1"/>
  <c r="M37" i="1"/>
  <c r="N37" i="1" s="1"/>
  <c r="X37" i="1"/>
  <c r="AE37" i="1"/>
  <c r="AB37" i="1"/>
  <c r="H37" i="1"/>
  <c r="Z37" i="1"/>
  <c r="G37" i="1" l="1"/>
  <c r="AD37" i="1" s="1"/>
  <c r="I37" i="1"/>
  <c r="J38" i="1" s="1"/>
  <c r="K37" i="1" l="1"/>
  <c r="L37" i="1" s="1"/>
  <c r="F38" i="1"/>
  <c r="AC38" i="1" s="1"/>
  <c r="AB38" i="1" l="1"/>
  <c r="AA38" i="1"/>
  <c r="M38" i="1"/>
  <c r="N38" i="1" s="1"/>
  <c r="AE38" i="1"/>
  <c r="X38" i="1"/>
  <c r="H38" i="1"/>
  <c r="Z38" i="1"/>
  <c r="G38" i="1" l="1"/>
  <c r="AD38" i="1" s="1"/>
  <c r="I38" i="1"/>
  <c r="J39" i="1" l="1"/>
  <c r="K38" i="1"/>
  <c r="L38" i="1" s="1"/>
  <c r="F39" i="1"/>
  <c r="AC39" i="1" l="1"/>
  <c r="AB39" i="1" l="1"/>
  <c r="AA39" i="1"/>
  <c r="M39" i="1"/>
  <c r="N39" i="1" s="1"/>
  <c r="AE39" i="1"/>
  <c r="X39" i="1"/>
  <c r="H39" i="1"/>
  <c r="Z39" i="1"/>
  <c r="G39" i="1" l="1"/>
  <c r="AD39" i="1" s="1"/>
  <c r="I39" i="1"/>
  <c r="K39" i="1" s="1"/>
  <c r="L39" i="1" s="1"/>
  <c r="F40" i="1" l="1"/>
  <c r="AC40" i="1" s="1"/>
  <c r="J40" i="1"/>
  <c r="H40" i="1" l="1"/>
  <c r="AB40" i="1"/>
  <c r="AA40" i="1"/>
  <c r="M40" i="1"/>
  <c r="N40" i="1" s="1"/>
  <c r="AE40" i="1"/>
  <c r="X40" i="1"/>
  <c r="Z40" i="1"/>
  <c r="G40" i="1" l="1"/>
  <c r="AD40" i="1" s="1"/>
  <c r="I40" i="1"/>
  <c r="K40" i="1" s="1"/>
  <c r="L40" i="1" s="1"/>
</calcChain>
</file>

<file path=xl/sharedStrings.xml><?xml version="1.0" encoding="utf-8"?>
<sst xmlns="http://schemas.openxmlformats.org/spreadsheetml/2006/main" count="283" uniqueCount="145">
  <si>
    <t>Min Expected Runs per Month</t>
  </si>
  <si>
    <t>Equity</t>
  </si>
  <si>
    <t>Position</t>
  </si>
  <si>
    <t>Pips to WipeOut</t>
  </si>
  <si>
    <t>Acc. Balance</t>
  </si>
  <si>
    <t>Profit</t>
  </si>
  <si>
    <t>ROI</t>
  </si>
  <si>
    <t>EUR/USD</t>
  </si>
  <si>
    <t>% per Run</t>
  </si>
  <si>
    <t>Tick Value Type</t>
  </si>
  <si>
    <t>(Could be 1, 2, 3, 4)</t>
  </si>
  <si>
    <t>500:1</t>
  </si>
  <si>
    <t>Tick Size</t>
  </si>
  <si>
    <t>% per Month</t>
  </si>
  <si>
    <t>Lot RoundUp</t>
  </si>
  <si>
    <t>(Could be Yes or No)</t>
  </si>
  <si>
    <t>Acc. Margin</t>
  </si>
  <si>
    <t>1 Lot</t>
  </si>
  <si>
    <t>base currency</t>
  </si>
  <si>
    <t>Commission Constant (Put 0 for baked in commission)</t>
  </si>
  <si>
    <t>Commission Type</t>
  </si>
  <si>
    <t>(Could be Notional or Flat)</t>
  </si>
  <si>
    <t>Fractal Latest &amp; Greatest</t>
  </si>
  <si>
    <t>CURRENT</t>
  </si>
  <si>
    <t>INPUT</t>
  </si>
  <si>
    <t>PARAMETERS</t>
  </si>
  <si>
    <t>OUTPUT</t>
  </si>
  <si>
    <t>Try #</t>
  </si>
  <si>
    <t>Series #</t>
  </si>
  <si>
    <t>Shot #</t>
  </si>
  <si>
    <t>Desired Net Profit</t>
  </si>
  <si>
    <t>Required Profit</t>
  </si>
  <si>
    <t>Required Profit + Commission</t>
  </si>
  <si>
    <t>Actual Profit</t>
  </si>
  <si>
    <t>SL Pips (spread included)</t>
  </si>
  <si>
    <t>TP Pips</t>
  </si>
  <si>
    <t>Tick Value for This Pair</t>
  </si>
  <si>
    <t>This Pair's Price</t>
  </si>
  <si>
    <t>Actual SL</t>
  </si>
  <si>
    <t>Actual Break Even Pips</t>
  </si>
  <si>
    <t>Actual TP</t>
  </si>
  <si>
    <t>Actual Notional</t>
  </si>
  <si>
    <t>Commission Cost Notional</t>
  </si>
  <si>
    <t>Commission Cost Flat</t>
  </si>
  <si>
    <t xml:space="preserve">Required Funds Margin </t>
  </si>
  <si>
    <t>Position Type</t>
  </si>
  <si>
    <t>Long</t>
  </si>
  <si>
    <t>Short</t>
  </si>
  <si>
    <t xml:space="preserve">   </t>
  </si>
  <si>
    <t xml:space="preserve"> </t>
  </si>
  <si>
    <t>GBP/USD</t>
  </si>
  <si>
    <t>Leverage</t>
  </si>
  <si>
    <t>Capital Invested</t>
  </si>
  <si>
    <t>Purchase Power</t>
  </si>
  <si>
    <t>Margin Requirement</t>
  </si>
  <si>
    <t>1:</t>
  </si>
  <si>
    <t>FORMULA</t>
  </si>
  <si>
    <t>1 Lot at 1% Margin Requirement (100:1 Leverage)</t>
  </si>
  <si>
    <t>Margin Req = Position Size in Lots * Commission Pair Rate * Leverage (in %s)</t>
  </si>
  <si>
    <t>is 5 times more expencive than</t>
  </si>
  <si>
    <t xml:space="preserve">Example: </t>
  </si>
  <si>
    <t>Lots</t>
  </si>
  <si>
    <t>Position Size</t>
  </si>
  <si>
    <t>Commission Pair Rate</t>
  </si>
  <si>
    <t>Leverage 100:1</t>
  </si>
  <si>
    <t>1 Lot at 0.20% Margin Requirement (500:1 Leverage)</t>
  </si>
  <si>
    <t>100:1 Leverage results in a 1% Margin Requirement</t>
  </si>
  <si>
    <t>Result</t>
  </si>
  <si>
    <t>Tick Value Type 1</t>
  </si>
  <si>
    <t>Tick Value Type 2</t>
  </si>
  <si>
    <t>Tick Value Type 3</t>
  </si>
  <si>
    <t>Tick Value Type 4</t>
  </si>
  <si>
    <t>For a Cross Pair that has Quote currency, which has USD as Quote currency</t>
  </si>
  <si>
    <t>For a Cross Pair that has Quote currency, which has USD as Base currency</t>
  </si>
  <si>
    <t>For a USD Based Pairs</t>
  </si>
  <si>
    <t>For a USD denominated Pairs</t>
  </si>
  <si>
    <t>Tick Value Pair</t>
  </si>
  <si>
    <t>Tick Value Size</t>
  </si>
  <si>
    <t>EUR/GBP</t>
  </si>
  <si>
    <t>EUR/CHF</t>
  </si>
  <si>
    <t>USD/CHF</t>
  </si>
  <si>
    <t>EUR/AUD</t>
  </si>
  <si>
    <t>AUD/USD</t>
  </si>
  <si>
    <t>EUR/JPY</t>
  </si>
  <si>
    <t>USD/JPY</t>
  </si>
  <si>
    <t>USD/CAD</t>
  </si>
  <si>
    <t>EUR/NZD</t>
  </si>
  <si>
    <t>NZD/USD</t>
  </si>
  <si>
    <t>EUR/CAD</t>
  </si>
  <si>
    <t>GBP/AUD</t>
  </si>
  <si>
    <t>GBP/CHF</t>
  </si>
  <si>
    <t>GBP/NZD</t>
  </si>
  <si>
    <t>GBP/JPY</t>
  </si>
  <si>
    <t>AUD/NZD</t>
  </si>
  <si>
    <t>GBP/CAD</t>
  </si>
  <si>
    <t>AUD/CHF</t>
  </si>
  <si>
    <t>AUD/JPY</t>
  </si>
  <si>
    <t>AUD/CAD</t>
  </si>
  <si>
    <t>FORMULA: Tick Size * PositionSize / Corresponding_USD_Based_Pair</t>
  </si>
  <si>
    <t>FORMULA: Tick Size * PositionSize</t>
  </si>
  <si>
    <t>FORMULA: Tick SIze * PositionSize * Corresponding USD_Denominated_Pair</t>
  </si>
  <si>
    <t>NZD/CHF</t>
  </si>
  <si>
    <t>NZD/JPY</t>
  </si>
  <si>
    <t>NZD/CAD</t>
  </si>
  <si>
    <t>CAD/CHF</t>
  </si>
  <si>
    <t>CAD/JPY</t>
  </si>
  <si>
    <t>CHF/JPY</t>
  </si>
  <si>
    <t>FORMULA: Tick Size  * PositionSize / Corresponding USD_Based_Pair</t>
  </si>
  <si>
    <t>0.005/100=0.00005 in pips</t>
  </si>
  <si>
    <t>Commission Notional</t>
  </si>
  <si>
    <t>Commission Pair</t>
  </si>
  <si>
    <t>-</t>
  </si>
  <si>
    <t>Commission = 0.005/100 * 100,000 * Lots * 1</t>
  </si>
  <si>
    <t>Commission = 0.005/100 * 100,000 * Lots * Current $ rate in Commission Pair</t>
  </si>
  <si>
    <t>Commission = 0.005/100 * 100,000 * Lots / Current $ rate in Commission Pair</t>
  </si>
  <si>
    <t>Commission Flat</t>
  </si>
  <si>
    <t>Commission Constant</t>
  </si>
  <si>
    <t>round trip per 1 Standard LOT - 100000 units of Base currency</t>
  </si>
  <si>
    <t>Throughout All Majors</t>
  </si>
  <si>
    <t>% Risk from Equity</t>
  </si>
  <si>
    <t>Actual Loss per Run</t>
  </si>
  <si>
    <t>Days per Month</t>
  </si>
  <si>
    <t>Runs per Day</t>
  </si>
  <si>
    <t>$$$ per Pip</t>
  </si>
  <si>
    <t>TO</t>
  </si>
  <si>
    <t>RISK</t>
  </si>
  <si>
    <t>REWARD</t>
  </si>
  <si>
    <t>Fractal - means one paralell robot working in the blind spot of the other thus complementing each other</t>
  </si>
  <si>
    <t>Performance Projections</t>
  </si>
  <si>
    <t>FX GAMBIT</t>
  </si>
  <si>
    <t>Current Loss + Comm.</t>
  </si>
  <si>
    <t>Total Losses By Now</t>
  </si>
  <si>
    <t>Total Losses Incl. This One</t>
  </si>
  <si>
    <t xml:space="preserve"> Actual Total Loss + Margin Required</t>
  </si>
  <si>
    <t>Comm.  Based on GBP/USD</t>
  </si>
  <si>
    <t xml:space="preserve">Distance </t>
  </si>
  <si>
    <t>Consec. Loses to WipeOut</t>
  </si>
  <si>
    <t>Required Lots with Comm.</t>
  </si>
  <si>
    <t>Flat</t>
  </si>
  <si>
    <t>Yes</t>
  </si>
  <si>
    <t>% per Day</t>
  </si>
  <si>
    <t>Tick Based on JPY/USD</t>
  </si>
  <si>
    <t>Current Loss</t>
  </si>
  <si>
    <t>Tick Size for JPY</t>
  </si>
  <si>
    <t>Regular Tick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</si>
</sst>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"/>
    <numFmt numFmtId="165" formatCode="_-[$$-409]* #,##0.00_ ;_-[$$-409]* \-#,##0.00\ ;_-[$$-409]* &quot;-&quot;??_ ;_-@_ "/>
    <numFmt numFmtId="166" formatCode="#,##0.00000"/>
    <numFmt numFmtId="167" formatCode="&quot;$&quot;#,##0.00"/>
    <numFmt numFmtId="168" formatCode="0.0"/>
    <numFmt numFmtId="169" formatCode="0.0000"/>
    <numFmt numFmtId="170" formatCode="_(&quot;$&quot;* #,##0.00000_);_(&quot;$&quot;* \(#,##0.00000\);_(&quot;$&quot;* &quot;-&quot;??_);_(@_)"/>
    <numFmt numFmtId="172" formatCode="&quot;$&quot;#,##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 Black"/>
      <family val="2"/>
      <charset val="204"/>
    </font>
    <font>
      <sz val="36"/>
      <color theme="1"/>
      <name val="Arial Black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 Black"/>
      <family val="2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48"/>
      <color theme="1"/>
      <name val="Arial Black"/>
      <family val="2"/>
      <charset val="204"/>
    </font>
    <font>
      <sz val="11"/>
      <color rgb="FFFA7D00"/>
      <name val="Agency FB"/>
      <family val="2"/>
    </font>
    <font>
      <sz val="11"/>
      <color theme="1"/>
      <name val="Agency FB"/>
      <family val="2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1" applyNumberFormat="0" applyAlignment="0" applyProtection="0"/>
  </cellStyleXfs>
  <cellXfs count="225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49" fontId="7" fillId="0" borderId="0" xfId="0" applyNumberFormat="1" applyFont="1" applyAlignment="1">
      <alignment horizontal="center" vertical="center"/>
    </xf>
    <xf numFmtId="3" fontId="0" fillId="0" borderId="0" xfId="0" applyNumberFormat="1"/>
    <xf numFmtId="2" fontId="0" fillId="2" borderId="0" xfId="0" applyNumberFormat="1" applyFill="1" applyProtection="1">
      <protection locked="0"/>
    </xf>
    <xf numFmtId="10" fontId="0" fillId="2" borderId="0" xfId="0" applyNumberFormat="1" applyFill="1" applyProtection="1">
      <protection locked="0"/>
    </xf>
    <xf numFmtId="166" fontId="0" fillId="0" borderId="0" xfId="0" applyNumberFormat="1"/>
    <xf numFmtId="0" fontId="2" fillId="5" borderId="0" xfId="0" applyFont="1" applyFill="1"/>
    <xf numFmtId="0" fontId="2" fillId="6" borderId="0" xfId="0" applyFont="1" applyFill="1"/>
    <xf numFmtId="0" fontId="2" fillId="3" borderId="0" xfId="0" applyFont="1" applyFill="1"/>
    <xf numFmtId="0" fontId="0" fillId="3" borderId="0" xfId="0" applyFill="1"/>
    <xf numFmtId="0" fontId="4" fillId="0" borderId="0" xfId="0" applyFont="1" applyAlignment="1">
      <alignment textRotation="46" wrapText="1"/>
    </xf>
    <xf numFmtId="0" fontId="4" fillId="0" borderId="0" xfId="0" applyFont="1" applyAlignment="1">
      <alignment textRotation="45"/>
    </xf>
    <xf numFmtId="0" fontId="4" fillId="0" borderId="0" xfId="0" applyFont="1" applyAlignment="1">
      <alignment textRotation="45" wrapText="1"/>
    </xf>
    <xf numFmtId="0" fontId="4" fillId="0" borderId="0" xfId="0" applyFont="1" applyAlignment="1">
      <alignment textRotation="47"/>
    </xf>
    <xf numFmtId="0" fontId="4" fillId="0" borderId="0" xfId="0" applyFont="1" applyAlignment="1">
      <alignment textRotation="47" wrapText="1"/>
    </xf>
    <xf numFmtId="0" fontId="0" fillId="7" borderId="0" xfId="0" applyFill="1"/>
    <xf numFmtId="0" fontId="0" fillId="7" borderId="0" xfId="0" applyFill="1" applyProtection="1">
      <protection locked="0"/>
    </xf>
    <xf numFmtId="167" fontId="0" fillId="8" borderId="0" xfId="0" applyNumberFormat="1" applyFill="1"/>
    <xf numFmtId="168" fontId="0" fillId="2" borderId="0" xfId="0" applyNumberFormat="1" applyFill="1" applyProtection="1">
      <protection locked="0"/>
    </xf>
    <xf numFmtId="0" fontId="0" fillId="9" borderId="0" xfId="0" applyFill="1" applyAlignment="1">
      <alignment horizontal="right"/>
    </xf>
    <xf numFmtId="164" fontId="0" fillId="2" borderId="0" xfId="0" applyNumberFormat="1" applyFill="1" applyProtection="1">
      <protection locked="0"/>
    </xf>
    <xf numFmtId="166" fontId="0" fillId="9" borderId="0" xfId="0" applyNumberFormat="1" applyFill="1"/>
    <xf numFmtId="164" fontId="0" fillId="8" borderId="0" xfId="0" applyNumberFormat="1" applyFill="1"/>
    <xf numFmtId="44" fontId="0" fillId="8" borderId="0" xfId="0" applyNumberFormat="1" applyFill="1"/>
    <xf numFmtId="0" fontId="0" fillId="10" borderId="0" xfId="0" applyFill="1"/>
    <xf numFmtId="167" fontId="0" fillId="10" borderId="0" xfId="0" applyNumberFormat="1" applyFill="1"/>
    <xf numFmtId="164" fontId="0" fillId="10" borderId="0" xfId="0" applyNumberFormat="1" applyFill="1"/>
    <xf numFmtId="166" fontId="0" fillId="10" borderId="0" xfId="0" applyNumberFormat="1" applyFill="1" applyProtection="1">
      <protection locked="0"/>
    </xf>
    <xf numFmtId="166" fontId="0" fillId="10" borderId="0" xfId="0" applyNumberFormat="1" applyFill="1"/>
    <xf numFmtId="44" fontId="0" fillId="10" borderId="0" xfId="0" applyNumberFormat="1" applyFill="1"/>
    <xf numFmtId="0" fontId="0" fillId="4" borderId="0" xfId="0" applyFill="1"/>
    <xf numFmtId="167" fontId="0" fillId="4" borderId="0" xfId="0" applyNumberFormat="1" applyFill="1"/>
    <xf numFmtId="164" fontId="0" fillId="4" borderId="0" xfId="0" applyNumberFormat="1" applyFill="1"/>
    <xf numFmtId="166" fontId="0" fillId="4" borderId="0" xfId="0" applyNumberFormat="1" applyFill="1" applyProtection="1">
      <protection locked="0"/>
    </xf>
    <xf numFmtId="166" fontId="0" fillId="4" borderId="0" xfId="0" applyNumberFormat="1" applyFill="1"/>
    <xf numFmtId="44" fontId="0" fillId="4" borderId="0" xfId="0" applyNumberFormat="1" applyFill="1"/>
    <xf numFmtId="0" fontId="9" fillId="4" borderId="0" xfId="0" applyFont="1" applyFill="1"/>
    <xf numFmtId="167" fontId="9" fillId="4" borderId="0" xfId="0" applyNumberFormat="1" applyFont="1" applyFill="1"/>
    <xf numFmtId="167" fontId="10" fillId="4" borderId="0" xfId="0" applyNumberFormat="1" applyFont="1" applyFill="1"/>
    <xf numFmtId="164" fontId="9" fillId="4" borderId="0" xfId="0" applyNumberFormat="1" applyFont="1" applyFill="1"/>
    <xf numFmtId="166" fontId="9" fillId="4" borderId="0" xfId="0" applyNumberFormat="1" applyFont="1" applyFill="1" applyProtection="1">
      <protection locked="0"/>
    </xf>
    <xf numFmtId="166" fontId="9" fillId="4" borderId="0" xfId="0" applyNumberFormat="1" applyFont="1" applyFill="1"/>
    <xf numFmtId="44" fontId="9" fillId="4" borderId="0" xfId="0" applyNumberFormat="1" applyFont="1" applyFill="1"/>
    <xf numFmtId="0" fontId="0" fillId="4" borderId="0" xfId="0" applyFill="1" applyProtection="1">
      <protection locked="0"/>
    </xf>
    <xf numFmtId="167" fontId="0" fillId="11" borderId="0" xfId="0" applyNumberFormat="1" applyFill="1"/>
    <xf numFmtId="166" fontId="0" fillId="11" borderId="0" xfId="0" applyNumberFormat="1" applyFill="1" applyProtection="1">
      <protection locked="0"/>
    </xf>
    <xf numFmtId="164" fontId="0" fillId="11" borderId="0" xfId="0" applyNumberFormat="1" applyFill="1"/>
    <xf numFmtId="0" fontId="0" fillId="12" borderId="0" xfId="0" applyFill="1" applyProtection="1">
      <protection locked="0"/>
    </xf>
    <xf numFmtId="167" fontId="0" fillId="12" borderId="0" xfId="0" applyNumberFormat="1" applyFill="1"/>
    <xf numFmtId="164" fontId="0" fillId="12" borderId="0" xfId="0" applyNumberFormat="1" applyFill="1"/>
    <xf numFmtId="166" fontId="0" fillId="12" borderId="0" xfId="0" applyNumberFormat="1" applyFill="1" applyProtection="1">
      <protection locked="0"/>
    </xf>
    <xf numFmtId="166" fontId="0" fillId="12" borderId="0" xfId="0" applyNumberFormat="1" applyFill="1"/>
    <xf numFmtId="44" fontId="0" fillId="12" borderId="0" xfId="0" applyNumberFormat="1" applyFill="1"/>
    <xf numFmtId="167" fontId="0" fillId="0" borderId="0" xfId="0" applyNumberFormat="1"/>
    <xf numFmtId="168" fontId="0" fillId="0" borderId="0" xfId="0" applyNumberFormat="1" applyProtection="1">
      <protection locked="0"/>
    </xf>
    <xf numFmtId="164" fontId="0" fillId="0" borderId="0" xfId="0" applyNumberFormat="1"/>
    <xf numFmtId="166" fontId="0" fillId="0" borderId="0" xfId="0" applyNumberFormat="1" applyProtection="1">
      <protection locked="0"/>
    </xf>
    <xf numFmtId="44" fontId="0" fillId="0" borderId="0" xfId="0" applyNumberFormat="1"/>
    <xf numFmtId="169" fontId="4" fillId="0" borderId="0" xfId="0" applyNumberFormat="1" applyFont="1"/>
    <xf numFmtId="169" fontId="0" fillId="0" borderId="0" xfId="0" applyNumberFormat="1" applyProtection="1">
      <protection locked="0"/>
    </xf>
    <xf numFmtId="167" fontId="11" fillId="13" borderId="0" xfId="0" applyNumberFormat="1" applyFont="1" applyFill="1"/>
    <xf numFmtId="0" fontId="11" fillId="13" borderId="0" xfId="0" applyFont="1" applyFill="1"/>
    <xf numFmtId="0" fontId="3" fillId="0" borderId="0" xfId="0" applyFont="1" applyProtection="1">
      <protection locked="0"/>
    </xf>
    <xf numFmtId="167" fontId="11" fillId="0" borderId="0" xfId="0" applyNumberFormat="1" applyFont="1"/>
    <xf numFmtId="0" fontId="11" fillId="0" borderId="0" xfId="0" applyFont="1"/>
    <xf numFmtId="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67" fontId="4" fillId="0" borderId="0" xfId="0" applyNumberFormat="1" applyFont="1" applyProtection="1">
      <protection locked="0"/>
    </xf>
    <xf numFmtId="44" fontId="0" fillId="0" borderId="0" xfId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0" fillId="11" borderId="0" xfId="0" applyFill="1" applyProtection="1">
      <protection locked="0"/>
    </xf>
    <xf numFmtId="0" fontId="7" fillId="11" borderId="0" xfId="0" applyFont="1" applyFill="1" applyProtection="1">
      <protection locked="0"/>
    </xf>
    <xf numFmtId="0" fontId="7" fillId="10" borderId="0" xfId="0" applyFont="1" applyFill="1"/>
    <xf numFmtId="0" fontId="14" fillId="11" borderId="0" xfId="0" applyFont="1" applyFill="1" applyProtection="1">
      <protection locked="0"/>
    </xf>
    <xf numFmtId="0" fontId="7" fillId="12" borderId="0" xfId="0" applyFont="1" applyFill="1" applyAlignment="1" applyProtection="1">
      <alignment horizontal="right"/>
      <protection locked="0"/>
    </xf>
    <xf numFmtId="0" fontId="0" fillId="0" borderId="2" xfId="0" applyBorder="1" applyAlignment="1" applyProtection="1">
      <alignment textRotation="45"/>
      <protection locked="0"/>
    </xf>
    <xf numFmtId="0" fontId="0" fillId="0" borderId="3" xfId="0" applyBorder="1" applyAlignment="1" applyProtection="1">
      <alignment textRotation="45"/>
      <protection locked="0"/>
    </xf>
    <xf numFmtId="0" fontId="0" fillId="0" borderId="3" xfId="0" applyBorder="1" applyAlignment="1" applyProtection="1">
      <alignment textRotation="45" wrapText="1"/>
      <protection locked="0"/>
    </xf>
    <xf numFmtId="0" fontId="0" fillId="0" borderId="4" xfId="0" applyBorder="1" applyProtection="1">
      <protection locked="0"/>
    </xf>
    <xf numFmtId="49" fontId="0" fillId="0" borderId="5" xfId="0" applyNumberFormat="1" applyBorder="1" applyAlignment="1" applyProtection="1">
      <alignment horizontal="right"/>
      <protection locked="0"/>
    </xf>
    <xf numFmtId="1" fontId="0" fillId="0" borderId="0" xfId="0" applyNumberFormat="1" applyAlignment="1" applyProtection="1">
      <alignment horizontal="left"/>
      <protection locked="0"/>
    </xf>
    <xf numFmtId="44" fontId="0" fillId="0" borderId="0" xfId="1" applyFont="1" applyBorder="1" applyProtection="1">
      <protection locked="0"/>
    </xf>
    <xf numFmtId="10" fontId="0" fillId="0" borderId="0" xfId="0" applyNumberFormat="1"/>
    <xf numFmtId="0" fontId="0" fillId="0" borderId="6" xfId="0" applyBorder="1" applyAlignment="1" applyProtection="1">
      <alignment textRotation="45"/>
      <protection locked="0"/>
    </xf>
    <xf numFmtId="0" fontId="4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4" fontId="0" fillId="0" borderId="0" xfId="1" applyFont="1" applyFill="1" applyBorder="1" applyProtection="1">
      <protection locked="0"/>
    </xf>
    <xf numFmtId="10" fontId="0" fillId="0" borderId="6" xfId="2" applyNumberFormat="1" applyFont="1" applyBorder="1" applyProtection="1">
      <protection locked="0"/>
    </xf>
    <xf numFmtId="49" fontId="0" fillId="0" borderId="7" xfId="0" applyNumberFormat="1" applyBorder="1" applyAlignment="1" applyProtection="1">
      <alignment horizontal="right"/>
      <protection locked="0"/>
    </xf>
    <xf numFmtId="1" fontId="0" fillId="0" borderId="8" xfId="0" applyNumberFormat="1" applyBorder="1" applyAlignment="1" applyProtection="1">
      <alignment horizontal="left"/>
      <protection locked="0"/>
    </xf>
    <xf numFmtId="44" fontId="0" fillId="0" borderId="8" xfId="1" applyFont="1" applyBorder="1" applyProtection="1">
      <protection locked="0"/>
    </xf>
    <xf numFmtId="44" fontId="0" fillId="0" borderId="8" xfId="0" applyNumberFormat="1" applyBorder="1"/>
    <xf numFmtId="10" fontId="0" fillId="0" borderId="8" xfId="0" applyNumberFormat="1" applyBorder="1"/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2" xfId="0" applyFont="1" applyBorder="1"/>
    <xf numFmtId="0" fontId="3" fillId="0" borderId="3" xfId="0" applyFont="1" applyBorder="1" applyProtection="1">
      <protection locked="0"/>
    </xf>
    <xf numFmtId="0" fontId="3" fillId="0" borderId="2" xfId="0" applyFont="1" applyBorder="1" applyAlignment="1">
      <alignment vertical="top"/>
    </xf>
    <xf numFmtId="0" fontId="19" fillId="0" borderId="3" xfId="0" applyFont="1" applyBorder="1" applyAlignment="1">
      <alignment horizontal="left" vertical="top"/>
    </xf>
    <xf numFmtId="0" fontId="3" fillId="0" borderId="4" xfId="0" applyFont="1" applyBorder="1" applyProtection="1">
      <protection locked="0"/>
    </xf>
    <xf numFmtId="0" fontId="0" fillId="0" borderId="5" xfId="0" applyBorder="1"/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15" fillId="14" borderId="0" xfId="3" applyBorder="1"/>
    <xf numFmtId="0" fontId="0" fillId="0" borderId="0" xfId="0" applyAlignment="1">
      <alignment horizontal="left" vertical="top" wrapText="1"/>
    </xf>
    <xf numFmtId="0" fontId="9" fillId="0" borderId="0" xfId="3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" xfId="0" applyBorder="1" applyProtection="1">
      <protection locked="0"/>
    </xf>
    <xf numFmtId="0" fontId="0" fillId="0" borderId="3" xfId="0" applyBorder="1" applyAlignment="1">
      <alignment horizontal="left" vertical="top"/>
    </xf>
    <xf numFmtId="0" fontId="15" fillId="14" borderId="0" xfId="3" applyBorder="1" applyProtection="1">
      <protection locked="0"/>
    </xf>
    <xf numFmtId="0" fontId="15" fillId="14" borderId="6" xfId="3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14" borderId="6" xfId="3" applyBorder="1"/>
    <xf numFmtId="0" fontId="0" fillId="0" borderId="0" xfId="0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4" fillId="0" borderId="5" xfId="0" applyFont="1" applyBorder="1" applyProtection="1">
      <protection locked="0"/>
    </xf>
    <xf numFmtId="6" fontId="15" fillId="14" borderId="0" xfId="3" applyNumberFormat="1" applyBorder="1" applyProtection="1">
      <protection locked="0"/>
    </xf>
    <xf numFmtId="8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shrinkToFit="1"/>
      <protection locked="0"/>
    </xf>
    <xf numFmtId="167" fontId="14" fillId="11" borderId="0" xfId="0" applyNumberFormat="1" applyFont="1" applyFill="1"/>
    <xf numFmtId="167" fontId="20" fillId="11" borderId="0" xfId="0" applyNumberFormat="1" applyFont="1" applyFill="1"/>
    <xf numFmtId="167" fontId="20" fillId="10" borderId="0" xfId="0" applyNumberFormat="1" applyFont="1" applyFill="1"/>
    <xf numFmtId="167" fontId="20" fillId="12" borderId="0" xfId="0" applyNumberFormat="1" applyFont="1" applyFill="1"/>
    <xf numFmtId="169" fontId="12" fillId="8" borderId="0" xfId="0" applyNumberFormat="1" applyFont="1" applyFill="1"/>
    <xf numFmtId="169" fontId="14" fillId="8" borderId="0" xfId="0" applyNumberFormat="1" applyFont="1" applyFill="1"/>
    <xf numFmtId="169" fontId="20" fillId="8" borderId="0" xfId="0" applyNumberFormat="1" applyFont="1" applyFill="1"/>
    <xf numFmtId="167" fontId="20" fillId="8" borderId="0" xfId="0" applyNumberFormat="1" applyFont="1" applyFill="1"/>
    <xf numFmtId="44" fontId="0" fillId="11" borderId="0" xfId="0" applyNumberFormat="1" applyFill="1"/>
    <xf numFmtId="0" fontId="21" fillId="0" borderId="0" xfId="0" applyFont="1" applyProtection="1">
      <protection locked="0"/>
    </xf>
    <xf numFmtId="167" fontId="21" fillId="0" borderId="0" xfId="0" applyNumberFormat="1" applyFont="1" applyProtection="1">
      <protection locked="0"/>
    </xf>
    <xf numFmtId="0" fontId="4" fillId="4" borderId="0" xfId="0" applyFont="1" applyFill="1" applyAlignment="1">
      <alignment horizontal="center"/>
    </xf>
    <xf numFmtId="168" fontId="0" fillId="2" borderId="0" xfId="0" applyNumberFormat="1" applyFill="1" applyAlignment="1" applyProtection="1">
      <alignment horizontal="center"/>
      <protection locked="0"/>
    </xf>
    <xf numFmtId="0" fontId="2" fillId="6" borderId="0" xfId="0" applyFont="1" applyFill="1" applyAlignment="1">
      <alignment horizontal="right"/>
    </xf>
    <xf numFmtId="169" fontId="18" fillId="18" borderId="0" xfId="4" applyNumberFormat="1" applyFont="1" applyFill="1" applyAlignment="1" applyProtection="1">
      <alignment horizontal="center" vertical="center"/>
      <protection locked="0"/>
    </xf>
    <xf numFmtId="0" fontId="18" fillId="17" borderId="0" xfId="3" applyFont="1" applyFill="1" applyAlignment="1" applyProtection="1">
      <alignment horizontal="center" vertical="center"/>
      <protection locked="0"/>
    </xf>
    <xf numFmtId="2" fontId="23" fillId="16" borderId="1" xfId="5" applyNumberFormat="1" applyFont="1" applyAlignment="1" applyProtection="1">
      <alignment horizontal="center" shrinkToFit="1"/>
      <protection locked="0"/>
    </xf>
    <xf numFmtId="165" fontId="23" fillId="16" borderId="1" xfId="5" applyNumberFormat="1" applyFont="1" applyAlignment="1" applyProtection="1">
      <alignment shrinkToFit="1"/>
      <protection locked="0"/>
    </xf>
    <xf numFmtId="0" fontId="23" fillId="16" borderId="1" xfId="5" applyFont="1" applyAlignment="1" applyProtection="1">
      <alignment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23" fillId="16" borderId="1" xfId="5" applyFont="1" applyProtection="1">
      <protection locked="0"/>
    </xf>
    <xf numFmtId="2" fontId="23" fillId="16" borderId="1" xfId="5" applyNumberFormat="1" applyFont="1" applyProtection="1">
      <protection locked="0"/>
    </xf>
    <xf numFmtId="2" fontId="23" fillId="16" borderId="1" xfId="5" applyNumberFormat="1" applyFont="1"/>
    <xf numFmtId="2" fontId="24" fillId="2" borderId="0" xfId="0" applyNumberFormat="1" applyFont="1" applyFill="1" applyAlignment="1" applyProtection="1">
      <alignment horizontal="right" shrinkToFit="1"/>
      <protection locked="0"/>
    </xf>
    <xf numFmtId="10" fontId="24" fillId="2" borderId="0" xfId="0" applyNumberFormat="1" applyFont="1" applyFill="1" applyAlignment="1" applyProtection="1">
      <alignment horizontal="right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0" borderId="0" xfId="0" applyAlignment="1">
      <alignment shrinkToFit="1"/>
    </xf>
    <xf numFmtId="0" fontId="25" fillId="0" borderId="0" xfId="0" applyFont="1" applyProtection="1">
      <protection locked="0"/>
    </xf>
    <xf numFmtId="0" fontId="0" fillId="18" borderId="0" xfId="0" applyFill="1" applyProtection="1">
      <protection locked="0"/>
    </xf>
    <xf numFmtId="0" fontId="18" fillId="18" borderId="0" xfId="3" applyFont="1" applyFill="1" applyAlignment="1" applyProtection="1">
      <alignment horizontal="center" vertical="center"/>
      <protection locked="0"/>
    </xf>
    <xf numFmtId="0" fontId="18" fillId="18" borderId="0" xfId="0" applyFont="1" applyFill="1" applyProtection="1">
      <protection locked="0"/>
    </xf>
    <xf numFmtId="167" fontId="18" fillId="18" borderId="0" xfId="0" applyNumberFormat="1" applyFont="1" applyFill="1"/>
    <xf numFmtId="168" fontId="18" fillId="18" borderId="0" xfId="0" applyNumberFormat="1" applyFont="1" applyFill="1" applyProtection="1">
      <protection locked="0"/>
    </xf>
    <xf numFmtId="0" fontId="18" fillId="18" borderId="0" xfId="0" applyFont="1" applyFill="1" applyAlignment="1">
      <alignment horizontal="right"/>
    </xf>
    <xf numFmtId="164" fontId="18" fillId="18" borderId="0" xfId="0" applyNumberFormat="1" applyFont="1" applyFill="1"/>
    <xf numFmtId="166" fontId="18" fillId="18" borderId="0" xfId="0" applyNumberFormat="1" applyFont="1" applyFill="1" applyProtection="1">
      <protection locked="0"/>
    </xf>
    <xf numFmtId="166" fontId="18" fillId="18" borderId="0" xfId="0" applyNumberFormat="1" applyFont="1" applyFill="1"/>
    <xf numFmtId="44" fontId="18" fillId="18" borderId="0" xfId="0" applyNumberFormat="1" applyFont="1" applyFill="1"/>
    <xf numFmtId="169" fontId="18" fillId="18" borderId="0" xfId="0" applyNumberFormat="1" applyFont="1" applyFill="1"/>
    <xf numFmtId="44" fontId="24" fillId="2" borderId="0" xfId="1" applyFont="1" applyFill="1" applyAlignment="1" applyProtection="1">
      <alignment horizontal="center" shrinkToFit="1"/>
      <protection locked="0"/>
    </xf>
    <xf numFmtId="0" fontId="8" fillId="3" borderId="0" xfId="0" applyFont="1" applyFill="1" applyAlignment="1">
      <alignment horizontal="center"/>
    </xf>
    <xf numFmtId="0" fontId="2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/>
    </xf>
    <xf numFmtId="0" fontId="0" fillId="0" borderId="10" xfId="0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horizontal="center" shrinkToFit="1"/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0" borderId="0" xfId="0" applyAlignment="1">
      <alignment horizontal="center" shrinkToFit="1"/>
    </xf>
    <xf numFmtId="170" fontId="0" fillId="0" borderId="0" xfId="1" applyNumberFormat="1" applyFont="1" applyBorder="1" applyAlignment="1" applyProtection="1">
      <alignment horizontal="left" vertical="top"/>
      <protection locked="0"/>
    </xf>
    <xf numFmtId="44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9" fillId="0" borderId="3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4" fillId="2" borderId="0" xfId="0" applyFont="1" applyFill="1" applyAlignment="1" applyProtection="1">
      <alignment horizontal="center"/>
      <protection locked="0"/>
    </xf>
    <xf numFmtId="0" fontId="24" fillId="2" borderId="11" xfId="0" applyFont="1" applyFill="1" applyBorder="1" applyAlignment="1" applyProtection="1">
      <alignment horizontal="center"/>
      <protection locked="0"/>
    </xf>
    <xf numFmtId="172" fontId="0" fillId="8" borderId="0" xfId="0" applyNumberFormat="1" applyFill="1"/>
    <xf numFmtId="172" fontId="0" fillId="10" borderId="0" xfId="0" applyNumberFormat="1" applyFill="1"/>
    <xf numFmtId="172" fontId="0" fillId="4" borderId="0" xfId="0" applyNumberFormat="1" applyFill="1"/>
    <xf numFmtId="172" fontId="0" fillId="11" borderId="0" xfId="0" applyNumberFormat="1" applyFill="1"/>
    <xf numFmtId="172" fontId="0" fillId="12" borderId="0" xfId="0" applyNumberFormat="1" applyFill="1"/>
    <xf numFmtId="172" fontId="18" fillId="18" borderId="0" xfId="0" applyNumberFormat="1" applyFont="1" applyFill="1"/>
    <xf numFmtId="167" fontId="27" fillId="4" borderId="0" xfId="0" applyNumberFormat="1" applyFont="1" applyFill="1"/>
    <xf numFmtId="167" fontId="28" fillId="8" borderId="0" xfId="0" applyNumberFormat="1" applyFont="1" applyFill="1"/>
    <xf numFmtId="167" fontId="28" fillId="4" borderId="0" xfId="0" applyNumberFormat="1" applyFont="1" applyFill="1"/>
    <xf numFmtId="172" fontId="28" fillId="4" borderId="0" xfId="0" applyNumberFormat="1" applyFont="1" applyFill="1"/>
    <xf numFmtId="0" fontId="27" fillId="4" borderId="0" xfId="0" applyFont="1" applyFill="1" applyProtection="1">
      <protection locked="0"/>
    </xf>
    <xf numFmtId="0" fontId="28" fillId="4" borderId="0" xfId="0" applyFont="1" applyFill="1"/>
    <xf numFmtId="2" fontId="28" fillId="2" borderId="0" xfId="0" applyNumberFormat="1" applyFont="1" applyFill="1" applyProtection="1">
      <protection locked="0"/>
    </xf>
    <xf numFmtId="169" fontId="27" fillId="8" borderId="0" xfId="0" applyNumberFormat="1" applyFont="1" applyFill="1"/>
    <xf numFmtId="167" fontId="26" fillId="8" borderId="0" xfId="0" applyNumberFormat="1" applyFont="1" applyFill="1"/>
    <xf numFmtId="167" fontId="29" fillId="4" borderId="0" xfId="0" applyNumberFormat="1" applyFont="1" applyFill="1"/>
    <xf numFmtId="167" fontId="30" fillId="4" borderId="0" xfId="0" applyNumberFormat="1" applyFont="1" applyFill="1"/>
    <xf numFmtId="164" fontId="0" fillId="0" borderId="0" xfId="0" applyNumberFormat="1" applyFill="1"/>
  </cellXfs>
  <cellStyles count="6">
    <cellStyle name="Bad" xfId="4" builtinId="27"/>
    <cellStyle name="Calculation" xfId="5" builtinId="22"/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17AA2-0C32-4331-9FC3-5C9BF6D6DD86}">
  <sheetPr>
    <pageSetUpPr fitToPage="1"/>
  </sheetPr>
  <dimension ref="A1:BE106"/>
  <sheetViews>
    <sheetView tabSelected="1" zoomScale="90" zoomScaleNormal="90" workbookViewId="0">
      <selection activeCell="L10" sqref="L10"/>
    </sheetView>
  </sheetViews>
  <sheetFormatPr defaultColWidth="8.85546875" defaultRowHeight="15" x14ac:dyDescent="0.25"/>
  <cols>
    <col min="1" max="1" width="6.5703125" style="1" customWidth="1"/>
    <col min="2" max="2" width="6.140625" style="1" customWidth="1"/>
    <col min="3" max="4" width="4" style="1" customWidth="1"/>
    <col min="5" max="5" width="7.85546875" style="1" customWidth="1"/>
    <col min="6" max="6" width="15.5703125" style="1" bestFit="1" customWidth="1"/>
    <col min="7" max="7" width="15" style="1" bestFit="1" customWidth="1"/>
    <col min="8" max="8" width="14.42578125" style="1" customWidth="1"/>
    <col min="9" max="10" width="15.5703125" style="1" bestFit="1" customWidth="1"/>
    <col min="11" max="12" width="16.5703125" style="1" bestFit="1" customWidth="1"/>
    <col min="13" max="13" width="14.5703125" style="1" bestFit="1" customWidth="1"/>
    <col min="14" max="14" width="13.85546875" style="1" bestFit="1" customWidth="1"/>
    <col min="15" max="15" width="4.85546875" style="1" customWidth="1"/>
    <col min="16" max="16" width="2.7109375" style="1" customWidth="1"/>
    <col min="17" max="17" width="6.85546875" style="1" customWidth="1"/>
    <col min="18" max="18" width="4.42578125" style="1" customWidth="1"/>
    <col min="19" max="19" width="9.7109375" style="1" customWidth="1"/>
    <col min="20" max="20" width="10" style="1" customWidth="1"/>
    <col min="21" max="21" width="9.5703125" style="1" customWidth="1"/>
    <col min="22" max="22" width="12.7109375" style="1" bestFit="1" customWidth="1"/>
    <col min="23" max="23" width="12.28515625" style="1" customWidth="1"/>
    <col min="24" max="24" width="9.85546875" style="1" customWidth="1"/>
    <col min="25" max="25" width="11.140625" style="1" customWidth="1"/>
    <col min="26" max="26" width="17" style="1" customWidth="1"/>
    <col min="27" max="27" width="9.7109375" style="1" customWidth="1"/>
    <col min="28" max="28" width="10.28515625" style="1" customWidth="1"/>
    <col min="29" max="29" width="13" style="1" bestFit="1" customWidth="1"/>
    <col min="30" max="30" width="13.42578125" style="1" customWidth="1"/>
    <col min="31" max="31" width="16" style="1" customWidth="1"/>
    <col min="32" max="32" width="11.140625" style="1" customWidth="1"/>
    <col min="33" max="33" width="11.42578125" style="1" customWidth="1"/>
    <col min="34" max="34" width="11.7109375" style="1" customWidth="1"/>
    <col min="35" max="36" width="8.85546875" style="1"/>
    <col min="37" max="37" width="5.28515625" style="1" customWidth="1"/>
    <col min="38" max="38" width="9.28515625" style="1" customWidth="1"/>
    <col min="39" max="39" width="14.5703125" style="1" bestFit="1" customWidth="1"/>
    <col min="40" max="40" width="15.42578125" style="1" customWidth="1"/>
    <col min="41" max="41" width="9.42578125" style="1" customWidth="1"/>
    <col min="42" max="42" width="13" style="1" customWidth="1"/>
    <col min="43" max="43" width="13.28515625" style="1" customWidth="1"/>
    <col min="44" max="44" width="12.28515625" style="1" customWidth="1"/>
    <col min="45" max="45" width="12.7109375" style="1" customWidth="1"/>
    <col min="46" max="46" width="10.28515625" style="1" customWidth="1"/>
    <col min="47" max="47" width="14.28515625" style="1" customWidth="1"/>
    <col min="48" max="48" width="13.7109375" style="1" customWidth="1"/>
    <col min="49" max="49" width="11" style="1" customWidth="1"/>
    <col min="50" max="50" width="13.85546875" style="1" customWidth="1"/>
    <col min="51" max="51" width="14.7109375" style="1" customWidth="1"/>
    <col min="52" max="52" width="13.85546875" style="1" customWidth="1"/>
    <col min="53" max="55" width="8.85546875" style="1"/>
    <col min="58" max="16384" width="8.85546875" style="1"/>
  </cols>
  <sheetData>
    <row r="1" spans="2:57" ht="29.25" customHeight="1" x14ac:dyDescent="0.25"/>
    <row r="2" spans="2:57" ht="63.75" customHeight="1" x14ac:dyDescent="0.25">
      <c r="G2" s="179" t="s">
        <v>129</v>
      </c>
      <c r="H2" s="179"/>
      <c r="I2" s="179"/>
      <c r="J2" s="179"/>
      <c r="K2" s="179"/>
      <c r="L2" s="179"/>
      <c r="M2" s="179"/>
      <c r="N2" s="179"/>
      <c r="O2" s="163"/>
    </row>
    <row r="3" spans="2:57" ht="42.75" customHeight="1" x14ac:dyDescent="0.25">
      <c r="G3" s="180" t="s">
        <v>128</v>
      </c>
      <c r="H3" s="180"/>
      <c r="I3" s="180"/>
      <c r="J3" s="180"/>
      <c r="K3" s="180"/>
      <c r="L3" s="180"/>
      <c r="M3" s="180"/>
      <c r="N3" s="180"/>
      <c r="O3" s="156"/>
    </row>
    <row r="4" spans="2:57" x14ac:dyDescent="0.25">
      <c r="K4" s="136" t="s">
        <v>121</v>
      </c>
      <c r="L4" s="3">
        <v>20</v>
      </c>
      <c r="N4" s="4" t="s">
        <v>122</v>
      </c>
      <c r="O4" s="205">
        <v>1</v>
      </c>
      <c r="P4" s="206"/>
      <c r="Q4" s="158">
        <f>L4*O4</f>
        <v>20</v>
      </c>
      <c r="R4" s="1" t="s">
        <v>0</v>
      </c>
      <c r="W4" s="1" t="s">
        <v>1</v>
      </c>
      <c r="X4" s="177">
        <v>1000</v>
      </c>
      <c r="Y4" s="4" t="s">
        <v>2</v>
      </c>
      <c r="Z4" s="161">
        <v>0.05</v>
      </c>
      <c r="AA4" s="153">
        <f>X4/(T16*Z4*10)</f>
        <v>3311.2599999999998</v>
      </c>
      <c r="AB4" s="185" t="s">
        <v>3</v>
      </c>
      <c r="AC4" s="185"/>
      <c r="AD4" s="5"/>
    </row>
    <row r="5" spans="2:57" ht="15.75" x14ac:dyDescent="0.25">
      <c r="F5" s="146"/>
      <c r="G5" s="147"/>
      <c r="H5" s="147"/>
      <c r="K5" s="1" t="s">
        <v>144</v>
      </c>
      <c r="L5" s="224">
        <v>1.0000000000000001E-5</v>
      </c>
      <c r="O5" s="6" t="s">
        <v>4</v>
      </c>
      <c r="P5" s="6"/>
      <c r="Q5" s="6"/>
      <c r="R5" s="6" t="s">
        <v>5</v>
      </c>
      <c r="T5" s="6" t="s">
        <v>6</v>
      </c>
      <c r="Y5" s="4" t="s">
        <v>119</v>
      </c>
      <c r="Z5" s="162">
        <v>0.02</v>
      </c>
      <c r="AA5" s="154">
        <f>X4*Z5</f>
        <v>20</v>
      </c>
      <c r="AB5" s="182" t="s">
        <v>120</v>
      </c>
      <c r="AC5" s="183"/>
      <c r="AD5" s="155">
        <f>X4/AA5</f>
        <v>50</v>
      </c>
      <c r="AE5" s="165" t="s">
        <v>136</v>
      </c>
    </row>
    <row r="6" spans="2:57" ht="15" customHeight="1" x14ac:dyDescent="0.25">
      <c r="E6" s="186" t="s">
        <v>92</v>
      </c>
      <c r="F6" s="186"/>
      <c r="G6" s="186"/>
      <c r="H6" s="186"/>
      <c r="I6"/>
      <c r="J6"/>
      <c r="K6" s="136" t="s">
        <v>143</v>
      </c>
      <c r="L6" s="7">
        <v>1E-3</v>
      </c>
      <c r="O6" s="184">
        <v>1000</v>
      </c>
      <c r="P6" s="184"/>
      <c r="Q6" s="184"/>
      <c r="R6" s="157">
        <v>10</v>
      </c>
      <c r="S6" s="159">
        <f>100*R6/O6</f>
        <v>1</v>
      </c>
      <c r="T6" s="164" t="s">
        <v>8</v>
      </c>
      <c r="U6" s="159">
        <f>S6*O4</f>
        <v>1</v>
      </c>
      <c r="V6" s="164" t="s">
        <v>140</v>
      </c>
      <c r="X6"/>
      <c r="Y6"/>
      <c r="AB6"/>
      <c r="AE6" s="8" t="s">
        <v>11</v>
      </c>
    </row>
    <row r="7" spans="2:57" ht="15" customHeight="1" x14ac:dyDescent="0.25">
      <c r="E7" s="186"/>
      <c r="F7" s="186"/>
      <c r="G7" s="186"/>
      <c r="H7" s="186"/>
      <c r="I7"/>
      <c r="J7"/>
      <c r="K7" s="164" t="s">
        <v>12</v>
      </c>
      <c r="L7" s="224">
        <v>1.0000000000000001E-5</v>
      </c>
      <c r="Q7"/>
      <c r="S7" s="160">
        <f>S6*Q4</f>
        <v>20</v>
      </c>
      <c r="T7" t="s">
        <v>13</v>
      </c>
      <c r="U7"/>
      <c r="V7"/>
      <c r="X7"/>
      <c r="Y7"/>
      <c r="AB7"/>
    </row>
    <row r="8" spans="2:57" ht="15" customHeight="1" x14ac:dyDescent="0.25">
      <c r="E8" s="186"/>
      <c r="F8" s="186"/>
      <c r="G8" s="186"/>
      <c r="H8" s="186"/>
      <c r="I8"/>
      <c r="J8"/>
      <c r="K8" s="164" t="s">
        <v>17</v>
      </c>
      <c r="L8" s="9">
        <v>100000</v>
      </c>
      <c r="M8" t="s">
        <v>18</v>
      </c>
      <c r="N8"/>
      <c r="AF8"/>
      <c r="AG8"/>
    </row>
    <row r="9" spans="2:57" ht="18.75" x14ac:dyDescent="0.4">
      <c r="E9" s="187" t="s">
        <v>22</v>
      </c>
      <c r="F9" s="187"/>
      <c r="G9" s="187"/>
      <c r="H9" s="187"/>
      <c r="I9"/>
      <c r="J9"/>
      <c r="K9"/>
      <c r="Q9" s="10">
        <v>6.5</v>
      </c>
      <c r="R9" s="188" t="s">
        <v>19</v>
      </c>
      <c r="S9" s="188"/>
      <c r="T9" s="188"/>
      <c r="U9" s="188"/>
      <c r="V9" s="188"/>
      <c r="W9" t="s">
        <v>9</v>
      </c>
      <c r="X9"/>
      <c r="Y9"/>
      <c r="Z9" s="135">
        <v>2</v>
      </c>
      <c r="AA9" t="s">
        <v>10</v>
      </c>
      <c r="AB9"/>
      <c r="AC9"/>
      <c r="AD9" t="s">
        <v>16</v>
      </c>
      <c r="AE9" s="11">
        <v>2E-3</v>
      </c>
      <c r="AF9"/>
      <c r="AG9"/>
    </row>
    <row r="10" spans="2:57" ht="18.75" x14ac:dyDescent="0.4">
      <c r="E10" s="178"/>
      <c r="F10" s="178"/>
      <c r="G10" s="178"/>
      <c r="H10" s="178"/>
      <c r="I10"/>
      <c r="J10"/>
      <c r="K10"/>
      <c r="R10"/>
      <c r="S10"/>
      <c r="T10"/>
      <c r="U10"/>
      <c r="V10"/>
      <c r="W10" t="s">
        <v>14</v>
      </c>
      <c r="X10"/>
      <c r="Y10"/>
      <c r="Z10" s="3" t="s">
        <v>139</v>
      </c>
      <c r="AA10" t="s">
        <v>15</v>
      </c>
      <c r="AB10"/>
      <c r="AC10"/>
      <c r="AD10"/>
      <c r="AE10"/>
      <c r="AF10"/>
      <c r="AG10"/>
    </row>
    <row r="11" spans="2:57" ht="18.75" x14ac:dyDescent="0.4">
      <c r="E11" s="178"/>
      <c r="F11" s="178"/>
      <c r="G11" s="178"/>
      <c r="H11" s="178"/>
      <c r="I11"/>
      <c r="J11"/>
      <c r="K11"/>
      <c r="R11"/>
      <c r="S11"/>
      <c r="T11"/>
      <c r="U11"/>
      <c r="V11"/>
      <c r="W11" t="s">
        <v>20</v>
      </c>
      <c r="X11"/>
      <c r="Y11"/>
      <c r="Z11" s="3" t="s">
        <v>138</v>
      </c>
      <c r="AA11" t="s">
        <v>21</v>
      </c>
      <c r="AB11"/>
      <c r="AC11"/>
      <c r="AD11"/>
      <c r="AE11"/>
      <c r="AF11"/>
      <c r="AG11"/>
    </row>
    <row r="12" spans="2:57" x14ac:dyDescent="0.25">
      <c r="E12" s="1" t="s">
        <v>127</v>
      </c>
      <c r="F12"/>
      <c r="G12"/>
      <c r="H12"/>
      <c r="I12"/>
      <c r="J12"/>
      <c r="K12"/>
      <c r="L12"/>
      <c r="M12"/>
      <c r="N12"/>
      <c r="O12" s="181" t="s">
        <v>23</v>
      </c>
      <c r="P12" s="181"/>
      <c r="Q12" s="181"/>
      <c r="R12"/>
      <c r="S12"/>
      <c r="T12"/>
      <c r="U12" s="12"/>
      <c r="V12"/>
      <c r="W12"/>
      <c r="X12"/>
      <c r="Y12"/>
      <c r="Z12"/>
      <c r="AA12"/>
      <c r="AB12"/>
      <c r="AC12"/>
      <c r="AD12"/>
      <c r="AE12"/>
      <c r="AF12"/>
      <c r="AG12"/>
      <c r="BD12" s="1"/>
      <c r="BE12" s="1"/>
    </row>
    <row r="13" spans="2:57" x14ac:dyDescent="0.25">
      <c r="E13" s="13" t="s">
        <v>24</v>
      </c>
      <c r="F13" s="13"/>
      <c r="G13" s="13"/>
      <c r="H13" s="14"/>
      <c r="I13" s="14"/>
      <c r="J13" s="14"/>
      <c r="K13" s="14"/>
      <c r="L13" s="14"/>
      <c r="M13" s="14"/>
      <c r="N13" s="14"/>
      <c r="O13" s="181" t="s">
        <v>25</v>
      </c>
      <c r="P13" s="181"/>
      <c r="Q13" s="181"/>
      <c r="R13" s="14"/>
      <c r="S13" s="14"/>
      <c r="T13" s="14"/>
      <c r="U13" s="14"/>
      <c r="V13" s="14"/>
      <c r="W13" s="14"/>
      <c r="X13" s="14"/>
      <c r="Y13" s="14"/>
      <c r="Z13" s="15" t="s">
        <v>26</v>
      </c>
      <c r="AA13" s="15"/>
      <c r="AB13" s="15"/>
      <c r="AC13" s="15"/>
      <c r="AD13" s="15"/>
      <c r="AE13" s="16"/>
      <c r="AF13"/>
      <c r="AG13"/>
      <c r="BD13" s="1"/>
      <c r="BE13" s="1"/>
    </row>
    <row r="14" spans="2:57" x14ac:dyDescent="0.25">
      <c r="E14" s="13"/>
      <c r="F14" s="13"/>
      <c r="G14" s="13"/>
      <c r="H14" s="14"/>
      <c r="I14" s="14"/>
      <c r="J14" s="14"/>
      <c r="K14" s="14"/>
      <c r="L14" s="14"/>
      <c r="M14" s="14"/>
      <c r="N14" s="150" t="s">
        <v>125</v>
      </c>
      <c r="O14" s="148">
        <v>1</v>
      </c>
      <c r="P14" s="148" t="s">
        <v>124</v>
      </c>
      <c r="Q14" s="148">
        <f>Q16/O16</f>
        <v>3.6</v>
      </c>
      <c r="R14" s="14" t="s">
        <v>126</v>
      </c>
      <c r="S14" s="14"/>
      <c r="T14" s="14"/>
      <c r="U14" s="14"/>
      <c r="V14" s="14"/>
      <c r="W14" s="14"/>
      <c r="X14" s="14"/>
      <c r="Y14" s="14"/>
      <c r="Z14" s="15"/>
      <c r="AA14" s="15"/>
      <c r="AB14" s="15"/>
      <c r="AC14" s="15"/>
      <c r="AD14" s="15"/>
      <c r="AE14" s="16"/>
      <c r="AF14"/>
      <c r="AG14"/>
      <c r="BD14" s="1"/>
      <c r="BE14" s="1"/>
    </row>
    <row r="15" spans="2:57" ht="69" customHeight="1" x14ac:dyDescent="0.25">
      <c r="B15" s="17" t="s">
        <v>27</v>
      </c>
      <c r="C15" s="17" t="s">
        <v>28</v>
      </c>
      <c r="D15" s="17" t="s">
        <v>29</v>
      </c>
      <c r="E15" s="17" t="s">
        <v>30</v>
      </c>
      <c r="F15" s="18" t="s">
        <v>31</v>
      </c>
      <c r="G15" s="19" t="s">
        <v>32</v>
      </c>
      <c r="H15" s="20" t="s">
        <v>142</v>
      </c>
      <c r="I15" s="21" t="s">
        <v>130</v>
      </c>
      <c r="J15" s="21" t="s">
        <v>131</v>
      </c>
      <c r="K15" s="21" t="s">
        <v>132</v>
      </c>
      <c r="L15" s="21" t="s">
        <v>133</v>
      </c>
      <c r="M15" s="21" t="s">
        <v>33</v>
      </c>
      <c r="N15" s="21" t="s">
        <v>123</v>
      </c>
      <c r="O15" s="19" t="s">
        <v>34</v>
      </c>
      <c r="P15" s="19"/>
      <c r="Q15" s="18" t="s">
        <v>35</v>
      </c>
      <c r="R15" s="19" t="s">
        <v>135</v>
      </c>
      <c r="S15" s="19" t="s">
        <v>141</v>
      </c>
      <c r="T15" s="19" t="s">
        <v>36</v>
      </c>
      <c r="U15" s="19" t="s">
        <v>134</v>
      </c>
      <c r="V15" s="19" t="s">
        <v>37</v>
      </c>
      <c r="W15" s="18" t="s">
        <v>38</v>
      </c>
      <c r="X15" s="19" t="s">
        <v>39</v>
      </c>
      <c r="Y15" s="18" t="s">
        <v>40</v>
      </c>
      <c r="Z15" s="18" t="s">
        <v>41</v>
      </c>
      <c r="AA15" s="19" t="s">
        <v>42</v>
      </c>
      <c r="AB15" s="19" t="s">
        <v>43</v>
      </c>
      <c r="AC15" s="17" t="str">
        <f>IF($Z$10="Yes", "Required Lots RoundUp", "Required Lots")</f>
        <v>Required Lots RoundUp</v>
      </c>
      <c r="AD15" s="17" t="s">
        <v>137</v>
      </c>
      <c r="AE15" s="17" t="s">
        <v>44</v>
      </c>
      <c r="AF15" s="17" t="s">
        <v>45</v>
      </c>
      <c r="AG15"/>
      <c r="BD15" s="1"/>
      <c r="BE15" s="1"/>
    </row>
    <row r="16" spans="2:57" x14ac:dyDescent="0.25">
      <c r="B16" s="22">
        <v>0</v>
      </c>
      <c r="C16" s="22">
        <v>0</v>
      </c>
      <c r="D16" s="23">
        <v>0</v>
      </c>
      <c r="E16" s="10">
        <v>10</v>
      </c>
      <c r="F16" s="24">
        <f>E16</f>
        <v>10</v>
      </c>
      <c r="G16" s="24">
        <f>IF($Z$11="Notional",F16+AA16,F16+AB16)</f>
        <v>10.324999999999999</v>
      </c>
      <c r="H16" s="24">
        <f t="shared" ref="H16:H40" si="0">O16*T16*10*AC16</f>
        <v>3.0199984296008169</v>
      </c>
      <c r="I16" s="24">
        <f>IF($Z$11&lt;&gt;"Flat",H16+AA16,H16+AB16)</f>
        <v>3.3449984296008171</v>
      </c>
      <c r="J16" s="24">
        <v>0</v>
      </c>
      <c r="K16" s="24">
        <f>I16</f>
        <v>3.3449984296008171</v>
      </c>
      <c r="L16" s="24">
        <f t="shared" ref="L16:L40" si="1">K16+ABS(AE16)</f>
        <v>16.252998429600815</v>
      </c>
      <c r="M16" s="24">
        <f t="shared" ref="M16:M40" si="2">(Q16*AC16*T16*10)</f>
        <v>10.871994346562941</v>
      </c>
      <c r="N16" s="207">
        <f>M16/Q16</f>
        <v>0.3019998429600817</v>
      </c>
      <c r="O16" s="25">
        <v>10</v>
      </c>
      <c r="P16" s="25"/>
      <c r="Q16" s="149">
        <v>36</v>
      </c>
      <c r="R16" s="26">
        <v>0</v>
      </c>
      <c r="S16" s="27">
        <v>1.6556299999999999</v>
      </c>
      <c r="T16" s="28">
        <f>IF($Z$9=1,$L$7*$L$8*S16,IF($Z$9=2,$L$7*$L$8/S16,IF($Z$9=3,$L$7*$L$8/S16,IF($Z$9=4,$L$7*$L$8,""))))</f>
        <v>0.6039996859201634</v>
      </c>
      <c r="U16" s="27">
        <v>1.2907999999999999</v>
      </c>
      <c r="V16" s="27">
        <v>198.4</v>
      </c>
      <c r="W16" s="29">
        <f t="shared" ref="W16:W40" si="3">IF(AF16="Long",V16-(O16*$L$7*10),V16+(O16*$L$7*10))</f>
        <v>198.399</v>
      </c>
      <c r="X16" s="29">
        <v>0</v>
      </c>
      <c r="Y16" s="29">
        <f t="shared" ref="Y16:Y40" si="4">IF(AF16="Long",V16+(Q16*$L$7*10),V16-(Q16*$L$7*10))</f>
        <v>198.40360000000001</v>
      </c>
      <c r="Z16" s="30">
        <f t="shared" ref="Z16:Z40" si="5">U16*AC16*$L$8</f>
        <v>6454</v>
      </c>
      <c r="AA16" s="24">
        <f>AC16*U16*$Q$9</f>
        <v>0.41950999999999999</v>
      </c>
      <c r="AB16" s="24">
        <f>AC16*1*$Q$9</f>
        <v>0.32500000000000001</v>
      </c>
      <c r="AC16" s="142">
        <f>IF($Z$10="Yes",ROUNDUP(F16/(Aux!B2-Aux!C2),2),F16/(Aux!B2-Aux!C2))</f>
        <v>0.05</v>
      </c>
      <c r="AD16" s="142">
        <f>IF($Z$10="Yes",ROUNDUP(G16/(Aux!B2-Aux!C2),2),G16/(Aux!B2-Aux!C2))</f>
        <v>0.05</v>
      </c>
      <c r="AE16" s="24">
        <f>IF(AF16="Short",AC16*U16*$L$8*$AE$9, AC16*U16*$L$8*$AE$9)</f>
        <v>12.907999999999999</v>
      </c>
      <c r="AF16" s="152" t="s">
        <v>46</v>
      </c>
      <c r="AJ16" s="71"/>
      <c r="BD16" s="1"/>
      <c r="BE16" s="1"/>
    </row>
    <row r="17" spans="1:57" x14ac:dyDescent="0.25">
      <c r="A17" s="72"/>
      <c r="B17" s="31">
        <v>1</v>
      </c>
      <c r="C17" s="31">
        <v>1</v>
      </c>
      <c r="D17" s="31">
        <v>1</v>
      </c>
      <c r="E17" s="10">
        <v>0</v>
      </c>
      <c r="F17" s="32">
        <f>E17+$I$16</f>
        <v>3.3449984296008171</v>
      </c>
      <c r="G17" s="24">
        <f>IF($Z$11="Notional",F17+AA17,F17+AB17)</f>
        <v>3.5399984296008169</v>
      </c>
      <c r="H17" s="32">
        <f t="shared" si="0"/>
        <v>1.8119990577604901</v>
      </c>
      <c r="I17" s="32">
        <f>IF($Z$11&lt;&gt;"Flat",H17+AA17,H17+AB17)</f>
        <v>2.0069990577604901</v>
      </c>
      <c r="J17" s="32">
        <f>SUM($I$16:I16)</f>
        <v>3.3449984296008171</v>
      </c>
      <c r="K17" s="32">
        <f>SUM($I$16:I17)</f>
        <v>5.3519974873613076</v>
      </c>
      <c r="L17" s="32">
        <f t="shared" si="1"/>
        <v>13.096797487361307</v>
      </c>
      <c r="M17" s="32">
        <f t="shared" si="2"/>
        <v>4.3487977386251764</v>
      </c>
      <c r="N17" s="208">
        <f t="shared" ref="N17:N40" si="6">M17/Q17</f>
        <v>0.18119990577604903</v>
      </c>
      <c r="O17" s="25">
        <v>10</v>
      </c>
      <c r="P17" s="25"/>
      <c r="Q17" s="149">
        <v>24</v>
      </c>
      <c r="R17" s="26">
        <v>0</v>
      </c>
      <c r="S17" s="33">
        <f t="shared" ref="S17:S40" si="7">IF(S16=1,1,IF(R17="",IF($AF17="Long",S16+(O17*$L$7*10),S16-(O17*$L$7*10)), IF($AF17="Long",S16+(R17*$L$7*10),S16-(R17*$L$7*10))))</f>
        <v>1.6556299999999999</v>
      </c>
      <c r="T17" s="34">
        <f>IF($Z$9=1,$L$7*$L$8*S17,IF($Z$9=2,$L$7*$L$8/S17,IF($Z$9=3,$L$7*$L$8/S17,IF($Z$9=4,$L$7*$L$8,""))))</f>
        <v>0.6039996859201634</v>
      </c>
      <c r="U17" s="35">
        <f t="shared" ref="U17:U40" si="8">IF(U16=1,1,IF(R17="",IF($AF17="Long",U16+(O17*$L$7*10),U16-(O17*$L$7*10)), IF($AF17="Long",U16+(R17*$L$7*10),U16-(R17*$L$7*10))))</f>
        <v>1.2907999999999999</v>
      </c>
      <c r="V17" s="35">
        <f t="shared" ref="V17:V40" si="9">IF(R17="",IF($AF17="Long",V16+(O17*$L$7*10),V16-(O17*$L$7*10)), IF($AF17="Long",V16+(R17*$L$7*10),V16-(R17*$L$7*10)))</f>
        <v>198.4</v>
      </c>
      <c r="W17" s="33">
        <f t="shared" si="3"/>
        <v>198.40100000000001</v>
      </c>
      <c r="X17" s="33">
        <f>$L$7*SUM($I$16:I16)/(T17*AC17)</f>
        <v>1.8460265833333339E-3</v>
      </c>
      <c r="Y17" s="33">
        <f t="shared" si="4"/>
        <v>198.39760000000001</v>
      </c>
      <c r="Z17" s="36">
        <f t="shared" si="5"/>
        <v>3872.3999999999996</v>
      </c>
      <c r="AA17" s="32">
        <f>AC17*U17*$Q$9</f>
        <v>0.25170599999999999</v>
      </c>
      <c r="AB17" s="32">
        <f>AC17*1*$Q$9</f>
        <v>0.19500000000000001</v>
      </c>
      <c r="AC17" s="142">
        <f>IF($Z$10="Yes",ROUNDUP(F17/(Aux!B3-Aux!C3),2),F17/(Aux!B3-Aux!C3))</f>
        <v>0.03</v>
      </c>
      <c r="AD17" s="142">
        <f>IF($Z$10="Yes",ROUNDUP(G17/(Aux!B3-Aux!C3),2),G17/(Aux!B3-Aux!C3))</f>
        <v>0.03</v>
      </c>
      <c r="AE17" s="24">
        <f>IF(AF17="Short",AC17*U17*$L$8*$AE$9, AC17*U17*$L$8*$AE$9)</f>
        <v>7.7447999999999997</v>
      </c>
      <c r="AF17" s="151" t="s">
        <v>47</v>
      </c>
      <c r="AJ17" s="71"/>
      <c r="BD17" s="1"/>
      <c r="BE17" s="1"/>
    </row>
    <row r="18" spans="1:57" x14ac:dyDescent="0.25">
      <c r="A18" s="72"/>
      <c r="B18" s="31">
        <v>2</v>
      </c>
      <c r="C18" s="31">
        <v>1</v>
      </c>
      <c r="D18" s="31">
        <v>2</v>
      </c>
      <c r="E18" s="10">
        <v>10</v>
      </c>
      <c r="F18" s="32">
        <f>E18+SUM($I$16:I17)</f>
        <v>15.351997487361308</v>
      </c>
      <c r="G18" s="24">
        <f>IF($Z$11="Notional",F18+AA18,F18+AB18)</f>
        <v>15.871997487361307</v>
      </c>
      <c r="H18" s="32">
        <f t="shared" si="0"/>
        <v>4.8319974873613072</v>
      </c>
      <c r="I18" s="32">
        <f>IF($Z$11&lt;&gt;"Flat",H18+AA18,H18+AB18)</f>
        <v>5.3519974873613076</v>
      </c>
      <c r="J18" s="32">
        <f>SUM($I$16:I17)</f>
        <v>5.3519974873613076</v>
      </c>
      <c r="K18" s="32">
        <f>SUM($I$16:I18)</f>
        <v>10.703994974722615</v>
      </c>
      <c r="L18" s="32">
        <f t="shared" si="1"/>
        <v>31.356794974722614</v>
      </c>
      <c r="M18" s="32">
        <f t="shared" si="2"/>
        <v>17.395190954500706</v>
      </c>
      <c r="N18" s="208">
        <f t="shared" si="6"/>
        <v>0.4831997487361307</v>
      </c>
      <c r="O18" s="25">
        <v>10</v>
      </c>
      <c r="P18" s="25"/>
      <c r="Q18" s="149">
        <v>36</v>
      </c>
      <c r="R18" s="26">
        <v>0</v>
      </c>
      <c r="S18" s="33">
        <f t="shared" si="7"/>
        <v>1.6556299999999999</v>
      </c>
      <c r="T18" s="34">
        <f>IF($Z$9=1,$L$7*$L$8*S18,IF($Z$9=2,$L$7*$L$8/S18,IF($Z$9=3,$L$7*$L$8/S18,IF($Z$9=4,$L$7*$L$8,""))))</f>
        <v>0.6039996859201634</v>
      </c>
      <c r="U18" s="35">
        <f t="shared" si="8"/>
        <v>1.2907999999999999</v>
      </c>
      <c r="V18" s="35">
        <f t="shared" si="9"/>
        <v>198.4</v>
      </c>
      <c r="W18" s="33">
        <f t="shared" si="3"/>
        <v>198.399</v>
      </c>
      <c r="X18" s="33">
        <f>$L$7*SUM($I$16:I17)/(T18*AC18)</f>
        <v>1.1076159500000003E-3</v>
      </c>
      <c r="Y18" s="33">
        <f t="shared" si="4"/>
        <v>198.40360000000001</v>
      </c>
      <c r="Z18" s="36">
        <f t="shared" si="5"/>
        <v>10326.4</v>
      </c>
      <c r="AA18" s="32">
        <f>AC18*U18*$Q$9</f>
        <v>0.67121599999999992</v>
      </c>
      <c r="AB18" s="32">
        <f>AC18*1*$Q$9</f>
        <v>0.52</v>
      </c>
      <c r="AC18" s="142">
        <f>IF($Z$10="Yes",ROUNDUP(F18/(Aux!B4-Aux!C4),2),F18/(Aux!B4-Aux!C4))</f>
        <v>0.08</v>
      </c>
      <c r="AD18" s="142">
        <f>IF($Z$10="Yes",ROUNDUP(G18/(Aux!B4-Aux!C4),2),G18/(Aux!B4-Aux!C4))</f>
        <v>0.08</v>
      </c>
      <c r="AE18" s="24">
        <f>IF(AF18="Short",AC18*U18*$L$8*$AE$9, AC18*U18*$L$8*$AE$9)</f>
        <v>20.652799999999999</v>
      </c>
      <c r="AF18" s="152" t="s">
        <v>46</v>
      </c>
      <c r="AJ18" s="71"/>
      <c r="BD18" s="1"/>
      <c r="BE18" s="1"/>
    </row>
    <row r="19" spans="1:57" x14ac:dyDescent="0.25">
      <c r="A19" s="72"/>
      <c r="B19" s="31">
        <v>3</v>
      </c>
      <c r="C19" s="31">
        <v>1</v>
      </c>
      <c r="D19" s="31">
        <v>3</v>
      </c>
      <c r="E19" s="10">
        <v>0</v>
      </c>
      <c r="F19" s="32">
        <f>E19+SUM($I$16:I18)</f>
        <v>10.703994974722615</v>
      </c>
      <c r="G19" s="24">
        <f>IF($Z$11="Notional",F19+AA19,F19+AB19)</f>
        <v>11.223994974722615</v>
      </c>
      <c r="H19" s="32">
        <f t="shared" si="0"/>
        <v>4.8319974873613072</v>
      </c>
      <c r="I19" s="32">
        <f>IF($Z$11&lt;&gt;"Flat",H19+AA19,H19+AB19)</f>
        <v>5.3519974873613076</v>
      </c>
      <c r="J19" s="32">
        <f>SUM($I$16:I18)</f>
        <v>10.703994974722615</v>
      </c>
      <c r="K19" s="32">
        <f>SUM($I$16:I19)</f>
        <v>16.055992462083921</v>
      </c>
      <c r="L19" s="32">
        <f t="shared" si="1"/>
        <v>36.70879246208392</v>
      </c>
      <c r="M19" s="32">
        <f t="shared" si="2"/>
        <v>11.596793969667136</v>
      </c>
      <c r="N19" s="208">
        <f t="shared" si="6"/>
        <v>0.48319974873613064</v>
      </c>
      <c r="O19" s="25">
        <v>10</v>
      </c>
      <c r="P19" s="25"/>
      <c r="Q19" s="149">
        <v>24</v>
      </c>
      <c r="R19" s="26">
        <v>0</v>
      </c>
      <c r="S19" s="33">
        <f t="shared" si="7"/>
        <v>1.6556299999999999</v>
      </c>
      <c r="T19" s="34">
        <f>IF($Z$9=1,$L$7*$L$8*S19,IF($Z$9=2,$L$7*$L$8/S19,IF($Z$9=3,$L$7*$L$8/S19,IF($Z$9=4,$L$7*$L$8,""))))</f>
        <v>0.6039996859201634</v>
      </c>
      <c r="U19" s="35">
        <f t="shared" si="8"/>
        <v>1.2907999999999999</v>
      </c>
      <c r="V19" s="35">
        <f t="shared" si="9"/>
        <v>198.4</v>
      </c>
      <c r="W19" s="33">
        <f t="shared" si="3"/>
        <v>198.40100000000001</v>
      </c>
      <c r="X19" s="33">
        <f>$L$7*SUM($I$16:I18)/(T19*AC19)</f>
        <v>2.2152319000000005E-3</v>
      </c>
      <c r="Y19" s="33">
        <f t="shared" si="4"/>
        <v>198.39760000000001</v>
      </c>
      <c r="Z19" s="36">
        <f t="shared" si="5"/>
        <v>10326.4</v>
      </c>
      <c r="AA19" s="32">
        <f>AC19*U19*$Q$9</f>
        <v>0.67121599999999992</v>
      </c>
      <c r="AB19" s="32">
        <f>AC19*1*$Q$9</f>
        <v>0.52</v>
      </c>
      <c r="AC19" s="142">
        <f>IF($Z$10="Yes",ROUNDUP(F19/(Aux!B5-Aux!C5),2),F19/(Aux!B5-Aux!C5))</f>
        <v>0.08</v>
      </c>
      <c r="AD19" s="142">
        <f>IF($Z$10="Yes",ROUNDUP(G19/(Aux!B5-Aux!C5),2),G19/(Aux!B5-Aux!C5))</f>
        <v>0.09</v>
      </c>
      <c r="AE19" s="24">
        <f>IF(AF19="Short",AC19*U19*$L$8*$AE$9, AC19*U19*$L$8*$AE$9)</f>
        <v>20.652799999999999</v>
      </c>
      <c r="AF19" s="151" t="s">
        <v>47</v>
      </c>
      <c r="AJ19" s="71"/>
      <c r="BD19" s="1"/>
      <c r="BE19" s="1"/>
    </row>
    <row r="20" spans="1:57" x14ac:dyDescent="0.25">
      <c r="A20" s="72"/>
      <c r="B20" s="31">
        <v>4</v>
      </c>
      <c r="C20" s="31">
        <v>1</v>
      </c>
      <c r="D20" s="31">
        <v>4</v>
      </c>
      <c r="E20" s="10">
        <v>10</v>
      </c>
      <c r="F20" s="32">
        <f>E20+SUM($I$16:I19)</f>
        <v>26.055992462083921</v>
      </c>
      <c r="G20" s="24">
        <f>IF($Z$11="Notional",F20+AA20,F20+AB20)</f>
        <v>26.90099246208392</v>
      </c>
      <c r="H20" s="32">
        <f t="shared" si="0"/>
        <v>7.8519959169621236</v>
      </c>
      <c r="I20" s="32">
        <f>IF($Z$11&lt;&gt;"Flat",H20+AA20,H20+AB20)</f>
        <v>8.6969959169621234</v>
      </c>
      <c r="J20" s="32">
        <f>SUM($I$16:I19)</f>
        <v>16.055992462083921</v>
      </c>
      <c r="K20" s="32">
        <f>SUM($I$16:I20)</f>
        <v>24.752988379046045</v>
      </c>
      <c r="L20" s="32">
        <f t="shared" si="1"/>
        <v>58.313788379046045</v>
      </c>
      <c r="M20" s="32">
        <f t="shared" si="2"/>
        <v>28.267185301063648</v>
      </c>
      <c r="N20" s="208">
        <f t="shared" si="6"/>
        <v>0.78519959169621245</v>
      </c>
      <c r="O20" s="25">
        <v>10</v>
      </c>
      <c r="P20" s="25"/>
      <c r="Q20" s="149">
        <v>36</v>
      </c>
      <c r="R20" s="26">
        <v>0</v>
      </c>
      <c r="S20" s="33">
        <f t="shared" si="7"/>
        <v>1.6556299999999999</v>
      </c>
      <c r="T20" s="34">
        <f>IF($Z$9=1,$L$7*$L$8*S20,IF($Z$9=2,$L$7*$L$8/S20,IF($Z$9=3,$L$7*$L$8/S20,IF($Z$9=4,$L$7*$L$8,""))))</f>
        <v>0.6039996859201634</v>
      </c>
      <c r="U20" s="35">
        <f t="shared" si="8"/>
        <v>1.2907999999999999</v>
      </c>
      <c r="V20" s="35">
        <f t="shared" si="9"/>
        <v>198.4</v>
      </c>
      <c r="W20" s="33">
        <f t="shared" si="3"/>
        <v>198.399</v>
      </c>
      <c r="X20" s="33">
        <f>$L$7*SUM($I$16:I19)/(T20*AC20)</f>
        <v>2.0448294461538463E-3</v>
      </c>
      <c r="Y20" s="33">
        <f t="shared" si="4"/>
        <v>198.40360000000001</v>
      </c>
      <c r="Z20" s="36">
        <f t="shared" si="5"/>
        <v>16780.400000000001</v>
      </c>
      <c r="AA20" s="32">
        <f>AC20*U20*$Q$9</f>
        <v>1.0907260000000001</v>
      </c>
      <c r="AB20" s="32">
        <f>AC20*1*$Q$9</f>
        <v>0.84499999999999997</v>
      </c>
      <c r="AC20" s="142">
        <f>IF($Z$10="Yes",ROUNDUP(F20/(Aux!B6-Aux!C6),2),F20/(Aux!B6-Aux!C6))</f>
        <v>0.13</v>
      </c>
      <c r="AD20" s="142">
        <f>IF($Z$10="Yes",ROUNDUP(G20/(Aux!B6-Aux!C6),2),G20/(Aux!B6-Aux!C6))</f>
        <v>0.13</v>
      </c>
      <c r="AE20" s="24">
        <f>IF(AF20="Short",AC20*U20*$L$8*$AE$9, AC20*U20*$L$8*$AE$9)</f>
        <v>33.5608</v>
      </c>
      <c r="AF20" s="152" t="s">
        <v>46</v>
      </c>
      <c r="AJ20" s="71"/>
      <c r="BD20" s="1"/>
      <c r="BE20" s="1"/>
    </row>
    <row r="21" spans="1:57" x14ac:dyDescent="0.25">
      <c r="A21" s="72"/>
      <c r="B21" s="31">
        <v>5</v>
      </c>
      <c r="C21" s="31">
        <v>1</v>
      </c>
      <c r="D21" s="31">
        <v>5</v>
      </c>
      <c r="E21" s="10">
        <v>0</v>
      </c>
      <c r="F21" s="32">
        <f>E21+SUM($I$16:I20)</f>
        <v>24.752988379046045</v>
      </c>
      <c r="G21" s="24">
        <f>IF($Z$11="Notional",F21+AA21,F21+AB21)</f>
        <v>25.987988379046044</v>
      </c>
      <c r="H21" s="32">
        <f t="shared" si="0"/>
        <v>11.475994032483104</v>
      </c>
      <c r="I21" s="32">
        <f>IF($Z$11&lt;&gt;"Flat",H21+AA21,H21+AB21)</f>
        <v>12.710994032483104</v>
      </c>
      <c r="J21" s="32">
        <f>SUM($I$16:I20)</f>
        <v>24.752988379046045</v>
      </c>
      <c r="K21" s="32">
        <f>SUM($I$16:I21)</f>
        <v>37.463982411529145</v>
      </c>
      <c r="L21" s="32">
        <f t="shared" si="1"/>
        <v>86.514382411529141</v>
      </c>
      <c r="M21" s="32">
        <f t="shared" si="2"/>
        <v>27.542385677959452</v>
      </c>
      <c r="N21" s="208">
        <f t="shared" si="6"/>
        <v>1.1475994032483106</v>
      </c>
      <c r="O21" s="25">
        <v>10</v>
      </c>
      <c r="P21" s="25"/>
      <c r="Q21" s="149">
        <v>24</v>
      </c>
      <c r="R21" s="26">
        <v>0</v>
      </c>
      <c r="S21" s="33">
        <f t="shared" si="7"/>
        <v>1.6556299999999999</v>
      </c>
      <c r="T21" s="34">
        <f>IF($Z$9=1,$L$7*$L$8*S21,IF($Z$9=2,$L$7*$L$8/S21,IF($Z$9=3,$L$7*$L$8/S21,IF($Z$9=4,$L$7*$L$8,""))))</f>
        <v>0.6039996859201634</v>
      </c>
      <c r="U21" s="35">
        <f t="shared" si="8"/>
        <v>1.2907999999999999</v>
      </c>
      <c r="V21" s="35">
        <f t="shared" si="9"/>
        <v>198.4</v>
      </c>
      <c r="W21" s="33">
        <f t="shared" si="3"/>
        <v>198.40100000000001</v>
      </c>
      <c r="X21" s="33">
        <f>$L$7*SUM($I$16:I20)/(T21*AC21)</f>
        <v>2.1569363236842109E-3</v>
      </c>
      <c r="Y21" s="33">
        <f t="shared" si="4"/>
        <v>198.39760000000001</v>
      </c>
      <c r="Z21" s="36">
        <f t="shared" si="5"/>
        <v>24525.200000000001</v>
      </c>
      <c r="AA21" s="32">
        <f>AC21*U21*$Q$9</f>
        <v>1.5941380000000001</v>
      </c>
      <c r="AB21" s="32">
        <f>AC21*1*$Q$9</f>
        <v>1.2350000000000001</v>
      </c>
      <c r="AC21" s="142">
        <f>IF($Z$10="Yes",ROUNDUP(F21/(Aux!B7-Aux!C7),2),F21/(Aux!B7-Aux!C7))</f>
        <v>0.19</v>
      </c>
      <c r="AD21" s="142">
        <f>IF($Z$10="Yes",ROUNDUP(G21/(Aux!B7-Aux!C7),2),G21/(Aux!B7-Aux!C7))</f>
        <v>0.2</v>
      </c>
      <c r="AE21" s="24">
        <f>IF(AF21="Short",AC21*U21*$L$8*$AE$9, AC21*U21*$L$8*$AE$9)</f>
        <v>49.050400000000003</v>
      </c>
      <c r="AF21" s="151" t="s">
        <v>47</v>
      </c>
      <c r="AJ21" s="71"/>
      <c r="BD21" s="1"/>
      <c r="BE21" s="1"/>
    </row>
    <row r="22" spans="1:57" ht="15.75" x14ac:dyDescent="0.25">
      <c r="A22" s="72"/>
      <c r="B22" s="81">
        <v>6</v>
      </c>
      <c r="C22" s="31">
        <v>1</v>
      </c>
      <c r="D22" s="31">
        <v>6</v>
      </c>
      <c r="E22" s="10">
        <v>10</v>
      </c>
      <c r="F22" s="139">
        <f>E22+SUM($I$16:I21)</f>
        <v>47.463982411529145</v>
      </c>
      <c r="G22" s="24">
        <f>IF($Z$11="Notional",F22+AA22,F22+AB22)</f>
        <v>48.958982411529142</v>
      </c>
      <c r="H22" s="139">
        <f t="shared" si="0"/>
        <v>13.891992776163757</v>
      </c>
      <c r="I22" s="139">
        <f>IF($Z$11&lt;&gt;"Flat",H22+AA22,H22+AB22)</f>
        <v>15.386992776163758</v>
      </c>
      <c r="J22" s="139">
        <f>SUM($I$16:I21)</f>
        <v>37.463982411529145</v>
      </c>
      <c r="K22" s="139">
        <f>SUM($I$16:I22)</f>
        <v>52.850975187692903</v>
      </c>
      <c r="L22" s="139">
        <f t="shared" si="1"/>
        <v>112.2277751876929</v>
      </c>
      <c r="M22" s="32">
        <f t="shared" si="2"/>
        <v>50.011173994189534</v>
      </c>
      <c r="N22" s="208">
        <f t="shared" si="6"/>
        <v>1.389199277616376</v>
      </c>
      <c r="O22" s="25">
        <v>10</v>
      </c>
      <c r="P22" s="25"/>
      <c r="Q22" s="149">
        <v>36</v>
      </c>
      <c r="R22" s="26">
        <v>0</v>
      </c>
      <c r="S22" s="33">
        <f t="shared" si="7"/>
        <v>1.6556299999999999</v>
      </c>
      <c r="T22" s="34">
        <f>IF($Z$9=1,$L$7*$L$8*S22,IF($Z$9=2,$L$7*$L$8/S22,IF($Z$9=3,$L$7*$L$8/S22,IF($Z$9=4,$L$7*$L$8,""))))</f>
        <v>0.6039996859201634</v>
      </c>
      <c r="U22" s="35">
        <f t="shared" si="8"/>
        <v>1.2907999999999999</v>
      </c>
      <c r="V22" s="35">
        <f t="shared" si="9"/>
        <v>198.4</v>
      </c>
      <c r="W22" s="33">
        <f t="shared" si="3"/>
        <v>198.399</v>
      </c>
      <c r="X22" s="33">
        <f>$L$7*SUM($I$16:I21)/(T22*AC22)</f>
        <v>2.6968040521739129E-3</v>
      </c>
      <c r="Y22" s="33">
        <f t="shared" si="4"/>
        <v>198.40360000000001</v>
      </c>
      <c r="Z22" s="36">
        <f t="shared" si="5"/>
        <v>29688.399999999998</v>
      </c>
      <c r="AA22" s="32">
        <f>AC22*U22*$Q$9</f>
        <v>1.929746</v>
      </c>
      <c r="AB22" s="32">
        <f>AC22*1*$Q$9</f>
        <v>1.4950000000000001</v>
      </c>
      <c r="AC22" s="141">
        <f>IF($Z$10="Yes",ROUNDUP(F22/(Aux!B8-Aux!C8),2),F22/(Aux!B8-Aux!C8))</f>
        <v>0.23</v>
      </c>
      <c r="AD22" s="141">
        <f>IF($Z$10="Yes",ROUNDUP(G22/(Aux!B8-Aux!C8),2),G22/(Aux!B8-Aux!C8))</f>
        <v>0.24000000000000002</v>
      </c>
      <c r="AE22" s="144">
        <f>IF(AF22="Short",AC22*U22*$L$8*$AE$9, AC22*U22*$L$8*$AE$9)</f>
        <v>59.376799999999996</v>
      </c>
      <c r="AF22" s="152" t="s">
        <v>46</v>
      </c>
      <c r="AJ22" s="71"/>
      <c r="BD22" s="1"/>
      <c r="BE22" s="1"/>
    </row>
    <row r="23" spans="1:57" x14ac:dyDescent="0.25">
      <c r="A23" s="72"/>
      <c r="B23" s="37">
        <v>7</v>
      </c>
      <c r="C23" s="37">
        <v>2</v>
      </c>
      <c r="D23" s="37">
        <v>1</v>
      </c>
      <c r="E23" s="10">
        <v>0</v>
      </c>
      <c r="F23" s="38">
        <f>E23+SUM($I$16:I22)</f>
        <v>52.850975187692903</v>
      </c>
      <c r="G23" s="24">
        <f>IF($Z$11="Notional",F23+AA23,F23+AB23)</f>
        <v>55.385975187692907</v>
      </c>
      <c r="H23" s="38">
        <f t="shared" si="0"/>
        <v>23.555987750886374</v>
      </c>
      <c r="I23" s="38">
        <f>IF($Z$11&lt;&gt;"Flat",H23+AA23,H23+AB23)</f>
        <v>26.090987750886374</v>
      </c>
      <c r="J23" s="38">
        <f>SUM($I$16:I22)</f>
        <v>52.850975187692903</v>
      </c>
      <c r="K23" s="38">
        <f>SUM($I$16:I23)</f>
        <v>78.94196293857928</v>
      </c>
      <c r="L23" s="38">
        <f t="shared" si="1"/>
        <v>179.62436293857928</v>
      </c>
      <c r="M23" s="38">
        <f t="shared" si="2"/>
        <v>56.534370602127296</v>
      </c>
      <c r="N23" s="209">
        <f t="shared" si="6"/>
        <v>2.3555987750886374</v>
      </c>
      <c r="O23" s="25">
        <v>10</v>
      </c>
      <c r="P23" s="25"/>
      <c r="Q23" s="149">
        <v>24</v>
      </c>
      <c r="R23" s="26">
        <v>0</v>
      </c>
      <c r="S23" s="39">
        <f t="shared" si="7"/>
        <v>1.6556299999999999</v>
      </c>
      <c r="T23" s="40">
        <f>IF($Z$9=1,$L$7*$L$8*S23,IF($Z$9=2,$L$7*$L$8/S23,IF($Z$9=3,$L$7*$L$8/S23,IF($Z$9=4,$L$7*$L$8,""))))</f>
        <v>0.6039996859201634</v>
      </c>
      <c r="U23" s="41">
        <f t="shared" si="8"/>
        <v>1.2907999999999999</v>
      </c>
      <c r="V23" s="41">
        <f t="shared" si="9"/>
        <v>198.4</v>
      </c>
      <c r="W23" s="39">
        <f t="shared" si="3"/>
        <v>198.40100000000001</v>
      </c>
      <c r="X23" s="39">
        <f>$L$7*SUM($I$16:I22)/(T23*AC23)</f>
        <v>2.2436323089743584E-3</v>
      </c>
      <c r="Y23" s="39">
        <f t="shared" si="4"/>
        <v>198.39760000000001</v>
      </c>
      <c r="Z23" s="42">
        <f t="shared" si="5"/>
        <v>50341.2</v>
      </c>
      <c r="AA23" s="38">
        <f>AC23*U23*$Q$9</f>
        <v>3.2721779999999998</v>
      </c>
      <c r="AB23" s="38">
        <f>AC23*1*$Q$9</f>
        <v>2.5350000000000001</v>
      </c>
      <c r="AC23" s="142">
        <f>IF($Z$10="Yes",ROUNDUP(F23/(Aux!B9-Aux!C9),2),F23/(Aux!B9-Aux!C9))</f>
        <v>0.39</v>
      </c>
      <c r="AD23" s="142">
        <f>IF($Z$10="Yes",ROUNDUP(G23/(Aux!B9-Aux!C9),2),G23/(Aux!B9-Aux!C9))</f>
        <v>0.41000000000000003</v>
      </c>
      <c r="AE23" s="24">
        <f>IF(AF23="Short",AC23*U23*$L$8*$AE$9, AC23*U23*$L$8*$AE$9)</f>
        <v>100.6824</v>
      </c>
      <c r="AF23" s="151" t="s">
        <v>47</v>
      </c>
      <c r="AJ23" s="71"/>
      <c r="BD23" s="1"/>
      <c r="BE23" s="1"/>
    </row>
    <row r="24" spans="1:57" x14ac:dyDescent="0.25">
      <c r="A24" s="72"/>
      <c r="B24" s="37">
        <v>8</v>
      </c>
      <c r="C24" s="37">
        <v>2</v>
      </c>
      <c r="D24" s="37">
        <v>2</v>
      </c>
      <c r="E24" s="10">
        <v>10</v>
      </c>
      <c r="F24" s="38">
        <f>E24+SUM($I$16:I23)</f>
        <v>88.94196293857928</v>
      </c>
      <c r="G24" s="24">
        <f>IF($Z$11="Notional",F24+AA24,F24+AB24)</f>
        <v>91.736962938579282</v>
      </c>
      <c r="H24" s="38">
        <f t="shared" si="0"/>
        <v>25.971986494567023</v>
      </c>
      <c r="I24" s="38">
        <f>IF($Z$11&lt;&gt;"Flat",H24+AA24,H24+AB24)</f>
        <v>28.766986494567021</v>
      </c>
      <c r="J24" s="38">
        <f>SUM($I$16:I23)</f>
        <v>78.94196293857928</v>
      </c>
      <c r="K24" s="38">
        <f>SUM($I$16:I24)</f>
        <v>107.7089494331463</v>
      </c>
      <c r="L24" s="38">
        <f t="shared" si="1"/>
        <v>218.71774943314631</v>
      </c>
      <c r="M24" s="38">
        <f t="shared" si="2"/>
        <v>93.499151380441305</v>
      </c>
      <c r="N24" s="209">
        <f t="shared" si="6"/>
        <v>2.5971986494567028</v>
      </c>
      <c r="O24" s="25">
        <v>10</v>
      </c>
      <c r="P24" s="25"/>
      <c r="Q24" s="149">
        <v>36</v>
      </c>
      <c r="R24" s="26">
        <v>0</v>
      </c>
      <c r="S24" s="39">
        <f t="shared" si="7"/>
        <v>1.6556299999999999</v>
      </c>
      <c r="T24" s="40">
        <f>IF($Z$9=1,$L$7*$L$8*S24,IF($Z$9=2,$L$7*$L$8/S24,IF($Z$9=3,$L$7*$L$8/S24,IF($Z$9=4,$L$7*$L$8,""))))</f>
        <v>0.6039996859201634</v>
      </c>
      <c r="U24" s="41">
        <f t="shared" si="8"/>
        <v>1.2907999999999999</v>
      </c>
      <c r="V24" s="41">
        <f t="shared" si="9"/>
        <v>198.4</v>
      </c>
      <c r="W24" s="39">
        <f t="shared" si="3"/>
        <v>198.399</v>
      </c>
      <c r="X24" s="39">
        <f>$L$7*SUM($I$16:I23)/(T24*AC24)</f>
        <v>3.0395042348837216E-3</v>
      </c>
      <c r="Y24" s="39">
        <f t="shared" si="4"/>
        <v>198.40360000000001</v>
      </c>
      <c r="Z24" s="42">
        <f t="shared" si="5"/>
        <v>55504.4</v>
      </c>
      <c r="AA24" s="38">
        <f>AC24*U24*$Q$9</f>
        <v>3.6077859999999999</v>
      </c>
      <c r="AB24" s="38">
        <f>AC24*1*$Q$9</f>
        <v>2.7949999999999999</v>
      </c>
      <c r="AC24" s="142">
        <f>IF($Z$10="Yes",ROUNDUP(F24/(Aux!B10-Aux!C10),2),F24/(Aux!B10-Aux!C10))</f>
        <v>0.43</v>
      </c>
      <c r="AD24" s="142">
        <f>IF($Z$10="Yes",ROUNDUP(G24/(Aux!B10-Aux!C10),2),G24/(Aux!B10-Aux!C10))</f>
        <v>0.44</v>
      </c>
      <c r="AE24" s="24">
        <f>IF(AF24="Short",AC24*U24*$L$8*$AE$9, AC24*U24*$L$8*$AE$9)</f>
        <v>111.00880000000001</v>
      </c>
      <c r="AF24" s="152" t="s">
        <v>46</v>
      </c>
      <c r="AJ24" s="71"/>
      <c r="BD24" s="1"/>
      <c r="BE24" s="1"/>
    </row>
    <row r="25" spans="1:57" x14ac:dyDescent="0.25">
      <c r="A25" s="72"/>
      <c r="B25" s="37">
        <v>9</v>
      </c>
      <c r="C25" s="37">
        <v>2</v>
      </c>
      <c r="D25" s="37">
        <v>3</v>
      </c>
      <c r="E25" s="10">
        <v>0</v>
      </c>
      <c r="F25" s="38">
        <f>E25+SUM($I$16:I24)</f>
        <v>107.7089494331463</v>
      </c>
      <c r="G25" s="24">
        <f>IF($Z$11="Notional",F25+AA25,F25+AB25)</f>
        <v>112.84394943314631</v>
      </c>
      <c r="H25" s="38">
        <f t="shared" si="0"/>
        <v>47.715975187692905</v>
      </c>
      <c r="I25" s="38">
        <f>IF($Z$11&lt;&gt;"Flat",H25+AA25,H25+AB25)</f>
        <v>52.850975187692903</v>
      </c>
      <c r="J25" s="38">
        <f>SUM($I$16:I24)</f>
        <v>107.7089494331463</v>
      </c>
      <c r="K25" s="38">
        <f>SUM($I$16:I25)</f>
        <v>160.55992462083921</v>
      </c>
      <c r="L25" s="38">
        <f t="shared" si="1"/>
        <v>364.50632462083922</v>
      </c>
      <c r="M25" s="38">
        <f t="shared" si="2"/>
        <v>114.51834045046299</v>
      </c>
      <c r="N25" s="209">
        <f t="shared" si="6"/>
        <v>4.7715975187692914</v>
      </c>
      <c r="O25" s="25">
        <v>10</v>
      </c>
      <c r="P25" s="25"/>
      <c r="Q25" s="149">
        <v>24</v>
      </c>
      <c r="R25" s="26">
        <v>0</v>
      </c>
      <c r="S25" s="39">
        <f t="shared" si="7"/>
        <v>1.6556299999999999</v>
      </c>
      <c r="T25" s="40">
        <f>IF($Z$9=1,$L$7*$L$8*S25,IF($Z$9=2,$L$7*$L$8/S25,IF($Z$9=3,$L$7*$L$8/S25,IF($Z$9=4,$L$7*$L$8,""))))</f>
        <v>0.6039996859201634</v>
      </c>
      <c r="U25" s="41">
        <f t="shared" si="8"/>
        <v>1.2907999999999999</v>
      </c>
      <c r="V25" s="41">
        <f t="shared" si="9"/>
        <v>198.4</v>
      </c>
      <c r="W25" s="39">
        <f t="shared" si="3"/>
        <v>198.40100000000001</v>
      </c>
      <c r="X25" s="39">
        <f>$L$7*SUM($I$16:I24)/(T25*AC25)</f>
        <v>2.2572932651898736E-3</v>
      </c>
      <c r="Y25" s="39">
        <f t="shared" si="4"/>
        <v>198.39760000000001</v>
      </c>
      <c r="Z25" s="42">
        <f t="shared" si="5"/>
        <v>101973.20000000001</v>
      </c>
      <c r="AA25" s="38">
        <f>AC25*U25*$Q$9</f>
        <v>6.6282580000000006</v>
      </c>
      <c r="AB25" s="38">
        <f>AC25*1*$Q$9</f>
        <v>5.1349999999999998</v>
      </c>
      <c r="AC25" s="142">
        <f>IF($Z$10="Yes",ROUNDUP(F25/(Aux!B11-Aux!C11),2),F25/(Aux!B11-Aux!C11))</f>
        <v>0.79</v>
      </c>
      <c r="AD25" s="142">
        <f>IF($Z$10="Yes",ROUNDUP(G25/(Aux!B11-Aux!C11),2),G25/(Aux!B11-Aux!C11))</f>
        <v>0.83</v>
      </c>
      <c r="AE25" s="24">
        <f>IF(AF25="Short",AC25*U25*$L$8*$AE$9, AC25*U25*$L$8*$AE$9)</f>
        <v>203.94640000000004</v>
      </c>
      <c r="AF25" s="151" t="s">
        <v>47</v>
      </c>
      <c r="AJ25" s="71"/>
      <c r="BD25" s="1"/>
      <c r="BE25" s="1"/>
    </row>
    <row r="26" spans="1:57" s="69" customFormat="1" x14ac:dyDescent="0.25">
      <c r="A26" s="72"/>
      <c r="B26" s="43">
        <v>10</v>
      </c>
      <c r="C26" s="43">
        <v>2</v>
      </c>
      <c r="D26" s="43">
        <v>4</v>
      </c>
      <c r="E26" s="10">
        <v>10</v>
      </c>
      <c r="F26" s="44">
        <f>E26+SUM($I$16:I25)</f>
        <v>170.55992462083921</v>
      </c>
      <c r="G26" s="24">
        <f>IF($Z$11="Notional",F26+AA26,F26+AB26)</f>
        <v>175.88992462083922</v>
      </c>
      <c r="H26" s="44">
        <f t="shared" si="0"/>
        <v>49.5279742454534</v>
      </c>
      <c r="I26" s="44">
        <f>IF($Z$11&lt;&gt;"Flat",H26+AA26,H26+AB26)</f>
        <v>54.857974245453399</v>
      </c>
      <c r="J26" s="44">
        <f>SUM($I$16:I25)</f>
        <v>160.55992462083921</v>
      </c>
      <c r="K26" s="44">
        <f>SUM($I$16:I26)</f>
        <v>215.4178988662926</v>
      </c>
      <c r="L26" s="45">
        <f t="shared" si="1"/>
        <v>427.10909886629258</v>
      </c>
      <c r="M26" s="44">
        <f t="shared" si="2"/>
        <v>178.30070728363225</v>
      </c>
      <c r="N26" s="209">
        <f t="shared" si="6"/>
        <v>4.9527974245453406</v>
      </c>
      <c r="O26" s="25">
        <v>10</v>
      </c>
      <c r="P26" s="25"/>
      <c r="Q26" s="149">
        <v>36</v>
      </c>
      <c r="R26" s="26">
        <v>0</v>
      </c>
      <c r="S26" s="46">
        <f t="shared" si="7"/>
        <v>1.6556299999999999</v>
      </c>
      <c r="T26" s="47">
        <f>IF($Z$9=1,$L$7*$L$8*S26,IF($Z$9=2,$L$7*$L$8/S26,IF($Z$9=3,$L$7*$L$8/S26,IF($Z$9=4,$L$7*$L$8,""))))</f>
        <v>0.6039996859201634</v>
      </c>
      <c r="U26" s="48">
        <f t="shared" si="8"/>
        <v>1.2907999999999999</v>
      </c>
      <c r="V26" s="48">
        <f t="shared" si="9"/>
        <v>198.4</v>
      </c>
      <c r="W26" s="46">
        <f t="shared" si="3"/>
        <v>198.399</v>
      </c>
      <c r="X26" s="46">
        <f>$L$7*SUM($I$16:I25)/(T26*AC26)</f>
        <v>3.2418027804878048E-3</v>
      </c>
      <c r="Y26" s="46">
        <f t="shared" si="4"/>
        <v>198.40360000000001</v>
      </c>
      <c r="Z26" s="49">
        <f t="shared" si="5"/>
        <v>105845.6</v>
      </c>
      <c r="AA26" s="44">
        <f>AC26*U26*$Q$9</f>
        <v>6.8799640000000002</v>
      </c>
      <c r="AB26" s="44">
        <f>AC26*1*$Q$9</f>
        <v>5.33</v>
      </c>
      <c r="AC26" s="142">
        <f>IF($Z$10="Yes",ROUNDUP(F26/(Aux!B12-Aux!C12),2),F26/(Aux!B12-Aux!C12))</f>
        <v>0.82000000000000006</v>
      </c>
      <c r="AD26" s="142">
        <f>IF($Z$10="Yes",ROUNDUP(G26/(Aux!B12-Aux!C12),2),G26/(Aux!B12-Aux!C12))</f>
        <v>0.85</v>
      </c>
      <c r="AE26" s="24">
        <f>IF(AF26="Short",AC26*U26*$L$8*$AE$9, AC26*U26*$L$8*$AE$9)</f>
        <v>211.69120000000001</v>
      </c>
      <c r="AF26" s="152" t="s">
        <v>46</v>
      </c>
      <c r="AJ26" s="71"/>
    </row>
    <row r="27" spans="1:57" ht="14.45" customHeight="1" x14ac:dyDescent="0.25">
      <c r="A27" s="72"/>
      <c r="B27" s="50">
        <v>11</v>
      </c>
      <c r="C27" s="37">
        <v>2</v>
      </c>
      <c r="D27" s="37">
        <v>5</v>
      </c>
      <c r="E27" s="10">
        <v>0</v>
      </c>
      <c r="F27" s="38">
        <f>E27+SUM($I$16:I26)</f>
        <v>215.4178988662926</v>
      </c>
      <c r="G27" s="24">
        <f>IF($Z$11="Notional",F27+AA27,F27+AB27)</f>
        <v>225.68789886629261</v>
      </c>
      <c r="H27" s="38">
        <f t="shared" si="0"/>
        <v>95.43195037538581</v>
      </c>
      <c r="I27" s="38">
        <f>IF($Z$11&lt;&gt;"Flat",H27+AA27,H27+AB27)</f>
        <v>105.70195037538581</v>
      </c>
      <c r="J27" s="38">
        <f>SUM($I$16:I26)</f>
        <v>215.4178988662926</v>
      </c>
      <c r="K27" s="38">
        <f>SUM($I$16:I27)</f>
        <v>321.11984924167842</v>
      </c>
      <c r="L27" s="38">
        <f t="shared" si="1"/>
        <v>729.01264924167845</v>
      </c>
      <c r="M27" s="38">
        <f t="shared" si="2"/>
        <v>229.03668090092597</v>
      </c>
      <c r="N27" s="209">
        <f t="shared" si="6"/>
        <v>9.5431950375385828</v>
      </c>
      <c r="O27" s="25">
        <v>10</v>
      </c>
      <c r="P27" s="25"/>
      <c r="Q27" s="149">
        <v>24</v>
      </c>
      <c r="R27" s="26">
        <v>0</v>
      </c>
      <c r="S27" s="39">
        <f t="shared" si="7"/>
        <v>1.6556299999999999</v>
      </c>
      <c r="T27" s="40">
        <f>IF($Z$9=1,$L$7*$L$8*S27,IF($Z$9=2,$L$7*$L$8/S27,IF($Z$9=3,$L$7*$L$8/S27,IF($Z$9=4,$L$7*$L$8,""))))</f>
        <v>0.6039996859201634</v>
      </c>
      <c r="U27" s="41">
        <f t="shared" si="8"/>
        <v>1.2907999999999999</v>
      </c>
      <c r="V27" s="41">
        <f t="shared" si="9"/>
        <v>198.4</v>
      </c>
      <c r="W27" s="39">
        <f t="shared" si="3"/>
        <v>198.40100000000001</v>
      </c>
      <c r="X27" s="39">
        <f>$L$7*SUM($I$16:I26)/(T27*AC27)</f>
        <v>2.2572932651898736E-3</v>
      </c>
      <c r="Y27" s="39">
        <f t="shared" si="4"/>
        <v>198.39760000000001</v>
      </c>
      <c r="Z27" s="42">
        <f t="shared" si="5"/>
        <v>203946.40000000002</v>
      </c>
      <c r="AA27" s="38">
        <f>AC27*U27*$Q$9</f>
        <v>13.256516000000001</v>
      </c>
      <c r="AB27" s="38">
        <f>AC27*1*$Q$9</f>
        <v>10.27</v>
      </c>
      <c r="AC27" s="142">
        <f>IF($Z$10="Yes",ROUNDUP(F27/(Aux!B13-Aux!C13),2),F27/(Aux!B13-Aux!C13))</f>
        <v>1.58</v>
      </c>
      <c r="AD27" s="142">
        <f>IF($Z$10="Yes",ROUNDUP(G27/(Aux!B13-Aux!C13),2),G27/(Aux!B13-Aux!C13))</f>
        <v>1.66</v>
      </c>
      <c r="AE27" s="24">
        <f>IF(AF27="Short",AC27*U27*$L$8*$AE$9, AC27*U27*$L$8*$AE$9)</f>
        <v>407.89280000000008</v>
      </c>
      <c r="AF27" s="151" t="s">
        <v>47</v>
      </c>
      <c r="AJ27" s="71"/>
      <c r="BD27" s="1"/>
      <c r="BE27" s="1"/>
    </row>
    <row r="28" spans="1:57" ht="23.25" x14ac:dyDescent="0.35">
      <c r="A28" s="72"/>
      <c r="B28" s="217">
        <v>12</v>
      </c>
      <c r="C28" s="218">
        <v>2</v>
      </c>
      <c r="D28" s="218">
        <v>6</v>
      </c>
      <c r="E28" s="219">
        <v>10</v>
      </c>
      <c r="F28" s="213">
        <f>E28+SUM($I$16:I27)</f>
        <v>331.11984924167842</v>
      </c>
      <c r="G28" s="214">
        <f>IF($Z$11="Notional",F28+AA28,F28+AB28)</f>
        <v>341.4548492416784</v>
      </c>
      <c r="H28" s="213">
        <f t="shared" si="0"/>
        <v>96.035950061305982</v>
      </c>
      <c r="I28" s="213">
        <f>IF($Z$11&lt;&gt;"Flat",H28+AA28,H28+AB28)</f>
        <v>106.37095006130599</v>
      </c>
      <c r="J28" s="213">
        <f>SUM($I$16:I27)</f>
        <v>321.11984924167842</v>
      </c>
      <c r="K28" s="222">
        <f>SUM($I$16:I28)</f>
        <v>427.49079930298444</v>
      </c>
      <c r="L28" s="223">
        <f t="shared" si="1"/>
        <v>837.9651993029845</v>
      </c>
      <c r="M28" s="215">
        <f t="shared" si="2"/>
        <v>345.72942022070151</v>
      </c>
      <c r="N28" s="216">
        <f t="shared" si="6"/>
        <v>9.6035950061305968</v>
      </c>
      <c r="O28" s="25">
        <v>10</v>
      </c>
      <c r="P28" s="25"/>
      <c r="Q28" s="149">
        <v>36</v>
      </c>
      <c r="R28" s="26">
        <v>0</v>
      </c>
      <c r="S28" s="39">
        <f t="shared" si="7"/>
        <v>1.6556299999999999</v>
      </c>
      <c r="T28" s="40">
        <f>IF($Z$9=1,$L$7*$L$8*S28,IF($Z$9=2,$L$7*$L$8/S28,IF($Z$9=3,$L$7*$L$8/S28,IF($Z$9=4,$L$7*$L$8,""))))</f>
        <v>0.6039996859201634</v>
      </c>
      <c r="U28" s="41">
        <f t="shared" si="8"/>
        <v>1.2907999999999999</v>
      </c>
      <c r="V28" s="41">
        <f t="shared" si="9"/>
        <v>198.4</v>
      </c>
      <c r="W28" s="39">
        <f t="shared" si="3"/>
        <v>198.399</v>
      </c>
      <c r="X28" s="39">
        <f>$L$7*SUM($I$16:I27)/(T28*AC28)</f>
        <v>3.3437462641509436E-3</v>
      </c>
      <c r="Y28" s="39">
        <f t="shared" si="4"/>
        <v>198.40360000000001</v>
      </c>
      <c r="Z28" s="42">
        <f t="shared" si="5"/>
        <v>205237.2</v>
      </c>
      <c r="AA28" s="38">
        <f>AC28*U28*$Q$9</f>
        <v>13.340418</v>
      </c>
      <c r="AB28" s="38">
        <f>AC28*1*$Q$9</f>
        <v>10.335000000000001</v>
      </c>
      <c r="AC28" s="220">
        <f>IF($Z$10="Yes",ROUNDUP(F28/(Aux!B14-Aux!C14),2),F28/(Aux!B14-Aux!C14))</f>
        <v>1.59</v>
      </c>
      <c r="AD28" s="220">
        <f>IF($Z$10="Yes",ROUNDUP(G28/(Aux!B14-Aux!C14),2),G28/(Aux!B14-Aux!C14))</f>
        <v>1.64</v>
      </c>
      <c r="AE28" s="221">
        <f>IF(AF28="Short",AC28*U28*$L$8*$AE$9, AC28*U28*$L$8*$AE$9)</f>
        <v>410.47440000000006</v>
      </c>
      <c r="AF28" s="152" t="s">
        <v>46</v>
      </c>
      <c r="AJ28" s="71"/>
      <c r="BD28" s="1"/>
      <c r="BE28" s="1"/>
    </row>
    <row r="29" spans="1:57" x14ac:dyDescent="0.25">
      <c r="A29" s="72"/>
      <c r="B29" s="79">
        <v>13</v>
      </c>
      <c r="C29" s="79">
        <v>3</v>
      </c>
      <c r="D29" s="79">
        <v>1</v>
      </c>
      <c r="E29" s="10">
        <v>0</v>
      </c>
      <c r="F29" s="51">
        <f>E29+SUM($I$16:I28)</f>
        <v>427.49079930298444</v>
      </c>
      <c r="G29" s="24">
        <f>IF($Z$11="Notional",F29+AA29,F29+AB29)</f>
        <v>447.90079930298441</v>
      </c>
      <c r="H29" s="51">
        <f t="shared" si="0"/>
        <v>189.65590137893128</v>
      </c>
      <c r="I29" s="51">
        <f>IF($Z$11&lt;&gt;"Flat",H29+AA29,H29+AB29)</f>
        <v>210.06590137893127</v>
      </c>
      <c r="J29" s="51">
        <f>SUM($I$16:I28)</f>
        <v>427.49079930298444</v>
      </c>
      <c r="K29" s="51">
        <f>SUM($I$16:I29)</f>
        <v>637.55670068191569</v>
      </c>
      <c r="L29" s="51">
        <f t="shared" si="1"/>
        <v>1448.1791006819158</v>
      </c>
      <c r="M29" s="51">
        <f t="shared" si="2"/>
        <v>455.17416330943502</v>
      </c>
      <c r="N29" s="210">
        <f t="shared" si="6"/>
        <v>18.965590137893127</v>
      </c>
      <c r="O29" s="25">
        <v>10</v>
      </c>
      <c r="P29" s="25"/>
      <c r="Q29" s="149">
        <v>24</v>
      </c>
      <c r="R29" s="26">
        <v>0</v>
      </c>
      <c r="S29" s="53">
        <f t="shared" si="7"/>
        <v>1.6556299999999999</v>
      </c>
      <c r="T29" s="52">
        <f>IF($Z$9=1,$L$7*$L$8*S29,IF($Z$9=2,$L$7*$L$8/S29,IF($Z$9=3,$L$7*$L$8/S29,IF($Z$9=4,$L$7*$L$8,""))))</f>
        <v>0.6039996859201634</v>
      </c>
      <c r="U29" s="53">
        <f t="shared" si="8"/>
        <v>1.2907999999999999</v>
      </c>
      <c r="V29" s="53">
        <f t="shared" si="9"/>
        <v>198.4</v>
      </c>
      <c r="W29" s="53">
        <f t="shared" si="3"/>
        <v>198.40100000000001</v>
      </c>
      <c r="X29" s="53">
        <f>$L$7*SUM($I$16:I28)/(T29*AC29)</f>
        <v>2.2540337326433127E-3</v>
      </c>
      <c r="Y29" s="53">
        <f t="shared" si="4"/>
        <v>198.39760000000001</v>
      </c>
      <c r="Z29" s="145">
        <f t="shared" si="5"/>
        <v>405311.19999999995</v>
      </c>
      <c r="AA29" s="51">
        <f>AC29*U29*$Q$9</f>
        <v>26.345227999999999</v>
      </c>
      <c r="AB29" s="51">
        <f>AC29*1*$Q$9</f>
        <v>20.409999999999997</v>
      </c>
      <c r="AC29" s="142">
        <f>IF($Z$10="Yes",ROUNDUP(F29/(Aux!B15-Aux!C15),2),F29/(Aux!B15-Aux!C15))</f>
        <v>3.1399999999999997</v>
      </c>
      <c r="AD29" s="142">
        <f>IF($Z$10="Yes",ROUNDUP(G29/(Aux!B15-Aux!C15),2),G29/(Aux!B15-Aux!C15))</f>
        <v>3.28</v>
      </c>
      <c r="AE29" s="24">
        <f>IF(AF29="Short",AC29*U29*$L$8*$AE$9, AC29*U29*$L$8*$AE$9)</f>
        <v>810.62239999999997</v>
      </c>
      <c r="AF29" s="151" t="s">
        <v>47</v>
      </c>
      <c r="AJ29" s="71"/>
      <c r="BD29" s="1"/>
      <c r="BE29" s="1"/>
    </row>
    <row r="30" spans="1:57" x14ac:dyDescent="0.25">
      <c r="A30" s="72"/>
      <c r="B30" s="79">
        <v>14</v>
      </c>
      <c r="C30" s="79">
        <v>3</v>
      </c>
      <c r="D30" s="79">
        <v>2</v>
      </c>
      <c r="E30" s="10">
        <v>10</v>
      </c>
      <c r="F30" s="51">
        <f>E30+SUM($I$16:I29)</f>
        <v>647.55670068191569</v>
      </c>
      <c r="G30" s="24">
        <f>IF($Z$11="Notional",F30+AA30,F30+AB30)</f>
        <v>667.70670068191566</v>
      </c>
      <c r="H30" s="51">
        <f t="shared" si="0"/>
        <v>187.23990263525062</v>
      </c>
      <c r="I30" s="51">
        <f>IF($Z$11&lt;&gt;"Flat",H30+AA30,H30+AB30)</f>
        <v>207.38990263525062</v>
      </c>
      <c r="J30" s="51">
        <f>SUM($I$16:I29)</f>
        <v>637.55670068191569</v>
      </c>
      <c r="K30" s="51">
        <f>SUM($I$16:I30)</f>
        <v>844.94660331716636</v>
      </c>
      <c r="L30" s="51">
        <f t="shared" si="1"/>
        <v>1645.2426033171662</v>
      </c>
      <c r="M30" s="51">
        <f t="shared" si="2"/>
        <v>674.06364948690225</v>
      </c>
      <c r="N30" s="210">
        <f t="shared" si="6"/>
        <v>18.723990263525064</v>
      </c>
      <c r="O30" s="25">
        <v>10</v>
      </c>
      <c r="P30" s="25"/>
      <c r="Q30" s="149">
        <v>36</v>
      </c>
      <c r="R30" s="26">
        <v>0</v>
      </c>
      <c r="S30" s="53">
        <f t="shared" si="7"/>
        <v>1.6556299999999999</v>
      </c>
      <c r="T30" s="52">
        <f>IF($Z$9=1,$L$7*$L$8*S30,IF($Z$9=2,$L$7*$L$8/S30,IF($Z$9=3,$L$7*$L$8/S30,IF($Z$9=4,$L$7*$L$8,""))))</f>
        <v>0.6039996859201634</v>
      </c>
      <c r="U30" s="53">
        <f t="shared" si="8"/>
        <v>1.2907999999999999</v>
      </c>
      <c r="V30" s="53">
        <f t="shared" si="9"/>
        <v>198.4</v>
      </c>
      <c r="W30" s="53">
        <f t="shared" si="3"/>
        <v>198.399</v>
      </c>
      <c r="X30" s="53">
        <f>$L$7*SUM($I$16:I29)/(T30*AC30)</f>
        <v>3.4050258075806459E-3</v>
      </c>
      <c r="Y30" s="53">
        <f t="shared" si="4"/>
        <v>198.40360000000001</v>
      </c>
      <c r="Z30" s="145">
        <f t="shared" si="5"/>
        <v>400147.99999999988</v>
      </c>
      <c r="AA30" s="51">
        <f>AC30*U30*$Q$9</f>
        <v>26.009619999999995</v>
      </c>
      <c r="AB30" s="51">
        <f>AC30*1*$Q$9</f>
        <v>20.149999999999999</v>
      </c>
      <c r="AC30" s="142">
        <f>IF($Z$10="Yes",ROUNDUP(F30/(Aux!B16-Aux!C16),2),F30/(Aux!B16-Aux!C16))</f>
        <v>3.0999999999999996</v>
      </c>
      <c r="AD30" s="142">
        <f>IF($Z$10="Yes",ROUNDUP(G30/(Aux!B16-Aux!C16),2),G30/(Aux!B16-Aux!C16))</f>
        <v>3.1999999999999997</v>
      </c>
      <c r="AE30" s="24">
        <f>IF(AF30="Short",AC30*U30*$L$8*$AE$9, AC30*U30*$L$8*$AE$9)</f>
        <v>800.29599999999982</v>
      </c>
      <c r="AF30" s="152" t="s">
        <v>46</v>
      </c>
      <c r="AJ30" s="71"/>
      <c r="BD30" s="1"/>
      <c r="BE30" s="1"/>
    </row>
    <row r="31" spans="1:57" x14ac:dyDescent="0.25">
      <c r="A31" s="72"/>
      <c r="B31" s="79">
        <v>15</v>
      </c>
      <c r="C31" s="79">
        <v>3</v>
      </c>
      <c r="D31" s="79">
        <v>3</v>
      </c>
      <c r="E31" s="10">
        <v>0</v>
      </c>
      <c r="F31" s="51">
        <f>E31+SUM($I$16:I30)</f>
        <v>844.94660331716636</v>
      </c>
      <c r="G31" s="24">
        <f>IF($Z$11="Notional",F31+AA31,F31+AB31)</f>
        <v>885.18160331716638</v>
      </c>
      <c r="H31" s="51">
        <f t="shared" si="0"/>
        <v>373.87580558458109</v>
      </c>
      <c r="I31" s="51">
        <f>IF($Z$11&lt;&gt;"Flat",H31+AA31,H31+AB31)</f>
        <v>414.1108055845811</v>
      </c>
      <c r="J31" s="51">
        <f>SUM($I$16:I30)</f>
        <v>844.94660331716636</v>
      </c>
      <c r="K31" s="51">
        <f>SUM($I$16:I31)</f>
        <v>1259.0574089017475</v>
      </c>
      <c r="L31" s="51">
        <f t="shared" si="1"/>
        <v>2857.0678089017474</v>
      </c>
      <c r="M31" s="51">
        <f t="shared" si="2"/>
        <v>897.30193340299479</v>
      </c>
      <c r="N31" s="210">
        <f t="shared" si="6"/>
        <v>37.387580558458119</v>
      </c>
      <c r="O31" s="25">
        <v>10</v>
      </c>
      <c r="P31" s="25"/>
      <c r="Q31" s="149">
        <v>24</v>
      </c>
      <c r="R31" s="26">
        <v>0</v>
      </c>
      <c r="S31" s="53">
        <f t="shared" si="7"/>
        <v>1.6556299999999999</v>
      </c>
      <c r="T31" s="52">
        <f>IF($Z$9=1,$L$7*$L$8*S31,IF($Z$9=2,$L$7*$L$8/S31,IF($Z$9=3,$L$7*$L$8/S31,IF($Z$9=4,$L$7*$L$8,""))))</f>
        <v>0.6039996859201634</v>
      </c>
      <c r="U31" s="53">
        <f t="shared" si="8"/>
        <v>1.2907999999999999</v>
      </c>
      <c r="V31" s="53">
        <f t="shared" si="9"/>
        <v>198.4</v>
      </c>
      <c r="W31" s="53">
        <f t="shared" si="3"/>
        <v>198.40100000000001</v>
      </c>
      <c r="X31" s="53">
        <f>$L$7*SUM($I$16:I30)/(T31*AC31)</f>
        <v>2.2599659852180938E-3</v>
      </c>
      <c r="Y31" s="53">
        <f t="shared" si="4"/>
        <v>198.39760000000001</v>
      </c>
      <c r="Z31" s="145">
        <f t="shared" si="5"/>
        <v>799005.19999999984</v>
      </c>
      <c r="AA31" s="51">
        <f>AC31*U31*$Q$9</f>
        <v>51.935337999999987</v>
      </c>
      <c r="AB31" s="51">
        <f>AC31*1*$Q$9</f>
        <v>40.234999999999999</v>
      </c>
      <c r="AC31" s="142">
        <f>IF($Z$10="Yes",ROUNDUP(F31/(Aux!B17-Aux!C17),2),F31/(Aux!B17-Aux!C17))</f>
        <v>6.1899999999999995</v>
      </c>
      <c r="AD31" s="142">
        <f>IF($Z$10="Yes",ROUNDUP(G31/(Aux!B17-Aux!C17),2),G31/(Aux!B17-Aux!C17))</f>
        <v>6.49</v>
      </c>
      <c r="AE31" s="24">
        <f>IF(AF31="Short",AC31*U31*$L$8*$AE$9, AC31*U31*$L$8*$AE$9)</f>
        <v>1598.0103999999997</v>
      </c>
      <c r="AF31" s="151" t="s">
        <v>47</v>
      </c>
      <c r="AJ31" s="71"/>
      <c r="BD31" s="1"/>
      <c r="BE31" s="1"/>
    </row>
    <row r="32" spans="1:57" x14ac:dyDescent="0.25">
      <c r="A32" s="72"/>
      <c r="B32" s="82">
        <v>16</v>
      </c>
      <c r="C32" s="79">
        <v>3</v>
      </c>
      <c r="D32" s="79">
        <v>4</v>
      </c>
      <c r="E32" s="10">
        <v>10</v>
      </c>
      <c r="F32" s="51">
        <f>E32+SUM($I$16:I31)</f>
        <v>1269.0574089017475</v>
      </c>
      <c r="G32" s="24">
        <f>IF($Z$11="Notional",F32+AA32,F32+AB32)</f>
        <v>1308.5774089017475</v>
      </c>
      <c r="H32" s="51">
        <f t="shared" si="0"/>
        <v>367.23180903945934</v>
      </c>
      <c r="I32" s="51">
        <f>IF($Z$11&lt;&gt;"Flat",H32+AA32,H32+AB32)</f>
        <v>406.75180903945932</v>
      </c>
      <c r="J32" s="51">
        <f>SUM($I$16:I31)</f>
        <v>1259.0574089017475</v>
      </c>
      <c r="K32" s="51">
        <f>SUM($I$16:I32)</f>
        <v>1665.809217941207</v>
      </c>
      <c r="L32" s="137">
        <f t="shared" si="1"/>
        <v>3235.4220179412068</v>
      </c>
      <c r="M32" s="51">
        <f t="shared" si="2"/>
        <v>1322.0345125420536</v>
      </c>
      <c r="N32" s="210">
        <f t="shared" si="6"/>
        <v>36.723180903945931</v>
      </c>
      <c r="O32" s="25">
        <v>10</v>
      </c>
      <c r="P32" s="25"/>
      <c r="Q32" s="149">
        <v>36</v>
      </c>
      <c r="R32" s="26">
        <v>0</v>
      </c>
      <c r="S32" s="53">
        <f t="shared" si="7"/>
        <v>1.6556299999999999</v>
      </c>
      <c r="T32" s="52">
        <f>IF($Z$9=1,$L$7*$L$8*S32,IF($Z$9=2,$L$7*$L$8/S32,IF($Z$9=3,$L$7*$L$8/S32,IF($Z$9=4,$L$7*$L$8,""))))</f>
        <v>0.6039996859201634</v>
      </c>
      <c r="U32" s="53">
        <f t="shared" si="8"/>
        <v>1.2907999999999999</v>
      </c>
      <c r="V32" s="53">
        <f t="shared" si="9"/>
        <v>198.4</v>
      </c>
      <c r="W32" s="53">
        <f t="shared" si="3"/>
        <v>198.399</v>
      </c>
      <c r="X32" s="53">
        <f>$L$7*SUM($I$16:I31)/(T32*AC32)</f>
        <v>3.4285085820723689E-3</v>
      </c>
      <c r="Y32" s="53">
        <f t="shared" si="4"/>
        <v>198.40360000000001</v>
      </c>
      <c r="Z32" s="145">
        <f t="shared" si="5"/>
        <v>784806.40000000002</v>
      </c>
      <c r="AA32" s="51">
        <f>AC32*U32*$Q$9</f>
        <v>51.012416000000002</v>
      </c>
      <c r="AB32" s="51">
        <f>AC32*1*$Q$9</f>
        <v>39.520000000000003</v>
      </c>
      <c r="AC32" s="142">
        <f>IF($Z$10="Yes",ROUNDUP(F32/(Aux!B18-Aux!C18),2),F32/(Aux!B18-Aux!C18))</f>
        <v>6.08</v>
      </c>
      <c r="AD32" s="142">
        <f>IF($Z$10="Yes",ROUNDUP(G32/(Aux!B18-Aux!C18),2),G32/(Aux!B18-Aux!C18))</f>
        <v>6.26</v>
      </c>
      <c r="AE32" s="24">
        <f>IF(AF32="Short",AC32*U32*$L$8*$AE$9, AC32*U32*$L$8*$AE$9)</f>
        <v>1569.6128000000001</v>
      </c>
      <c r="AF32" s="152" t="s">
        <v>46</v>
      </c>
      <c r="AJ32" s="71"/>
      <c r="BD32" s="1"/>
      <c r="BE32" s="1"/>
    </row>
    <row r="33" spans="1:57" x14ac:dyDescent="0.25">
      <c r="A33" s="72"/>
      <c r="B33" s="79">
        <v>17</v>
      </c>
      <c r="C33" s="79">
        <v>3</v>
      </c>
      <c r="D33" s="79">
        <v>5</v>
      </c>
      <c r="E33" s="10">
        <v>0</v>
      </c>
      <c r="F33" s="51">
        <f>E33+SUM($I$16:I32)</f>
        <v>1665.809217941207</v>
      </c>
      <c r="G33" s="24">
        <f>IF($Z$11="Notional",F33+AA33,F33+AB33)</f>
        <v>1745.1092179412069</v>
      </c>
      <c r="H33" s="51">
        <f t="shared" si="0"/>
        <v>736.87961682259925</v>
      </c>
      <c r="I33" s="51">
        <f>IF($Z$11&lt;&gt;"Flat",H33+AA33,H33+AB33)</f>
        <v>816.1796168225992</v>
      </c>
      <c r="J33" s="51">
        <f>SUM($I$16:I32)</f>
        <v>1665.809217941207</v>
      </c>
      <c r="K33" s="51">
        <f>SUM($I$16:I33)</f>
        <v>2481.9888347638062</v>
      </c>
      <c r="L33" s="51">
        <f t="shared" si="1"/>
        <v>5631.5408347638058</v>
      </c>
      <c r="M33" s="51">
        <f t="shared" si="2"/>
        <v>1768.5110803742382</v>
      </c>
      <c r="N33" s="210">
        <f t="shared" si="6"/>
        <v>73.687961682259925</v>
      </c>
      <c r="O33" s="25">
        <v>10</v>
      </c>
      <c r="P33" s="25"/>
      <c r="Q33" s="149">
        <v>24</v>
      </c>
      <c r="R33" s="26">
        <v>0</v>
      </c>
      <c r="S33" s="53">
        <f t="shared" si="7"/>
        <v>1.6556299999999999</v>
      </c>
      <c r="T33" s="52">
        <f>IF($Z$9=1,$L$7*$L$8*S33,IF($Z$9=2,$L$7*$L$8/S33,IF($Z$9=3,$L$7*$L$8/S33,IF($Z$9=4,$L$7*$L$8,""))))</f>
        <v>0.6039996859201634</v>
      </c>
      <c r="U33" s="53">
        <f t="shared" si="8"/>
        <v>1.2907999999999999</v>
      </c>
      <c r="V33" s="53">
        <f t="shared" si="9"/>
        <v>198.4</v>
      </c>
      <c r="W33" s="53">
        <f t="shared" si="3"/>
        <v>198.40100000000001</v>
      </c>
      <c r="X33" s="53">
        <f>$L$7*SUM($I$16:I32)/(T33*AC33)</f>
        <v>2.2606259963114761E-3</v>
      </c>
      <c r="Y33" s="53">
        <f t="shared" si="4"/>
        <v>198.39760000000001</v>
      </c>
      <c r="Z33" s="145">
        <f t="shared" si="5"/>
        <v>1574775.9999999998</v>
      </c>
      <c r="AA33" s="51">
        <f>AC33*U33*$Q$9</f>
        <v>102.36043999999998</v>
      </c>
      <c r="AB33" s="51">
        <f>AC33*1*$Q$9</f>
        <v>79.3</v>
      </c>
      <c r="AC33" s="142">
        <f>IF($Z$10="Yes",ROUNDUP(F33/(Aux!B19-Aux!C19),2),F33/(Aux!B19-Aux!C19))</f>
        <v>12.2</v>
      </c>
      <c r="AD33" s="142">
        <f>IF($Z$10="Yes",ROUNDUP(G33/(Aux!B19-Aux!C19),2),G33/(Aux!B19-Aux!C19))</f>
        <v>12.78</v>
      </c>
      <c r="AE33" s="24">
        <f>IF(AF33="Short",AC33*U33*$L$8*$AE$9, AC33*U33*$L$8*$AE$9)</f>
        <v>3149.5519999999997</v>
      </c>
      <c r="AF33" s="151" t="s">
        <v>47</v>
      </c>
      <c r="AJ33" s="71"/>
      <c r="BD33" s="1"/>
      <c r="BE33" s="1"/>
    </row>
    <row r="34" spans="1:57" ht="15.75" x14ac:dyDescent="0.25">
      <c r="A34" s="72"/>
      <c r="B34" s="80">
        <v>18</v>
      </c>
      <c r="C34" s="79">
        <v>3</v>
      </c>
      <c r="D34" s="79">
        <v>6</v>
      </c>
      <c r="E34" s="10">
        <v>10</v>
      </c>
      <c r="F34" s="138">
        <f>E34+SUM($I$16:I33)</f>
        <v>2491.9888347638062</v>
      </c>
      <c r="G34" s="24">
        <f>IF($Z$11="Notional",F34+AA34,F34+AB34)</f>
        <v>2569.5338347638062</v>
      </c>
      <c r="H34" s="138">
        <f t="shared" si="0"/>
        <v>720.57162530275491</v>
      </c>
      <c r="I34" s="138">
        <f>IF($Z$11&lt;&gt;"Flat",H34+AA34,H34+AB34)</f>
        <v>798.11662530275487</v>
      </c>
      <c r="J34" s="138">
        <f>SUM($I$16:I33)</f>
        <v>2481.9888347638062</v>
      </c>
      <c r="K34" s="138">
        <f>SUM($I$16:I34)</f>
        <v>3280.1054600665611</v>
      </c>
      <c r="L34" s="138">
        <f t="shared" si="1"/>
        <v>6359.9542600665609</v>
      </c>
      <c r="M34" s="51">
        <f t="shared" si="2"/>
        <v>2594.0578510899177</v>
      </c>
      <c r="N34" s="210">
        <f t="shared" si="6"/>
        <v>72.057162530275491</v>
      </c>
      <c r="O34" s="25">
        <v>10</v>
      </c>
      <c r="P34" s="25"/>
      <c r="Q34" s="149">
        <v>36</v>
      </c>
      <c r="R34" s="26">
        <v>0</v>
      </c>
      <c r="S34" s="53">
        <f t="shared" si="7"/>
        <v>1.6556299999999999</v>
      </c>
      <c r="T34" s="52">
        <f>IF($Z$9=1,$L$7*$L$8*S34,IF($Z$9=2,$L$7*$L$8/S34,IF($Z$9=3,$L$7*$L$8/S34,IF($Z$9=4,$L$7*$L$8,""))))</f>
        <v>0.6039996859201634</v>
      </c>
      <c r="U34" s="53">
        <f t="shared" si="8"/>
        <v>1.2907999999999999</v>
      </c>
      <c r="V34" s="53">
        <f t="shared" si="9"/>
        <v>198.4</v>
      </c>
      <c r="W34" s="53">
        <f t="shared" si="3"/>
        <v>198.399</v>
      </c>
      <c r="X34" s="53">
        <f>$L$7*SUM($I$16:I33)/(T34*AC34)</f>
        <v>3.4444720658005031E-3</v>
      </c>
      <c r="Y34" s="53">
        <f t="shared" si="4"/>
        <v>198.40360000000001</v>
      </c>
      <c r="Z34" s="145">
        <f t="shared" si="5"/>
        <v>1539924.4</v>
      </c>
      <c r="AA34" s="51">
        <f>AC34*U34*$Q$9</f>
        <v>100.09508599999999</v>
      </c>
      <c r="AB34" s="51">
        <f>AC34*1*$Q$9</f>
        <v>77.545000000000002</v>
      </c>
      <c r="AC34" s="143">
        <f>IF($Z$10="Yes",ROUNDUP(F34/(Aux!B20-Aux!C20),2),F34/(Aux!B20-Aux!C20))</f>
        <v>11.93</v>
      </c>
      <c r="AD34" s="141">
        <f>IF($Z$10="Yes",ROUNDUP(G34/(Aux!B20-Aux!C20),2),G34/(Aux!B20-Aux!C20))</f>
        <v>12.299999999999999</v>
      </c>
      <c r="AE34" s="144">
        <f>IF(AF34="Short",AC34*U34*$L$8*$AE$9, AC34*U34*$L$8*$AE$9)</f>
        <v>3079.8487999999998</v>
      </c>
      <c r="AF34" s="152" t="s">
        <v>46</v>
      </c>
      <c r="AJ34" s="71"/>
      <c r="BD34" s="1"/>
      <c r="BE34" s="1"/>
    </row>
    <row r="35" spans="1:57" x14ac:dyDescent="0.25">
      <c r="B35" s="54">
        <v>19</v>
      </c>
      <c r="C35" s="54">
        <v>4</v>
      </c>
      <c r="D35" s="54">
        <v>1</v>
      </c>
      <c r="E35" s="10">
        <v>0</v>
      </c>
      <c r="F35" s="55">
        <f>E35+SUM($I$16:I34)</f>
        <v>3280.1054600665611</v>
      </c>
      <c r="G35" s="24">
        <f>IF($Z$11="Notional",F35+AA35,F35+AB35)</f>
        <v>3436.2354600665612</v>
      </c>
      <c r="H35" s="55">
        <f t="shared" si="0"/>
        <v>1450.8072455802326</v>
      </c>
      <c r="I35" s="55">
        <f>IF($Z$11&lt;&gt;"Flat",H35+AA35,H35+AB35)</f>
        <v>1606.9372455802327</v>
      </c>
      <c r="J35" s="55">
        <f>SUM($I$16:I34)</f>
        <v>3280.1054600665611</v>
      </c>
      <c r="K35" s="55">
        <f>SUM($I$16:I35)</f>
        <v>4887.0427056467943</v>
      </c>
      <c r="L35" s="55">
        <f t="shared" si="1"/>
        <v>11088.045905646795</v>
      </c>
      <c r="M35" s="55">
        <f t="shared" si="2"/>
        <v>3481.9373893925581</v>
      </c>
      <c r="N35" s="211">
        <f t="shared" si="6"/>
        <v>145.08072455802326</v>
      </c>
      <c r="O35" s="25">
        <v>10</v>
      </c>
      <c r="P35" s="25"/>
      <c r="Q35" s="149">
        <v>24</v>
      </c>
      <c r="R35" s="26">
        <v>0</v>
      </c>
      <c r="S35" s="56">
        <f t="shared" si="7"/>
        <v>1.6556299999999999</v>
      </c>
      <c r="T35" s="57">
        <f>IF($Z$9=1,$L$7*$L$8*S35,IF($Z$9=2,$L$7*$L$8/S35,IF($Z$9=3,$L$7*$L$8/S35,IF($Z$9=4,$L$7*$L$8,""))))</f>
        <v>0.6039996859201634</v>
      </c>
      <c r="U35" s="58">
        <f t="shared" si="8"/>
        <v>1.2907999999999999</v>
      </c>
      <c r="V35" s="58">
        <f t="shared" si="9"/>
        <v>198.4</v>
      </c>
      <c r="W35" s="56">
        <f t="shared" si="3"/>
        <v>198.40100000000001</v>
      </c>
      <c r="X35" s="56">
        <f>$L$7*SUM($I$16:I34)/(T35*AC35)</f>
        <v>2.2608830153413818E-3</v>
      </c>
      <c r="Y35" s="56">
        <f t="shared" si="4"/>
        <v>198.39760000000001</v>
      </c>
      <c r="Z35" s="59">
        <f t="shared" si="5"/>
        <v>3100501.6</v>
      </c>
      <c r="AA35" s="55">
        <f>AC35*U35*$Q$9</f>
        <v>201.53260400000002</v>
      </c>
      <c r="AB35" s="55">
        <f>AC35*1*$Q$9</f>
        <v>156.13000000000002</v>
      </c>
      <c r="AC35" s="142">
        <f>IF($Z$10="Yes",ROUNDUP(F35/(Aux!B21-Aux!C21),2),F35/(Aux!B21-Aux!C21))</f>
        <v>24.020000000000003</v>
      </c>
      <c r="AD35" s="142">
        <f>IF($Z$10="Yes",ROUNDUP(G35/(Aux!B21-Aux!C21),2),G35/(Aux!B21-Aux!C21))</f>
        <v>25.17</v>
      </c>
      <c r="AE35" s="24">
        <f>IF(AF35="Short",AC35*U35*$L$8*$AE$9, AC35*U35*$L$8*$AE$9)</f>
        <v>6201.0032000000001</v>
      </c>
      <c r="AF35" s="151" t="s">
        <v>47</v>
      </c>
      <c r="AJ35" s="71"/>
      <c r="BD35" s="1"/>
      <c r="BE35" s="1"/>
    </row>
    <row r="36" spans="1:57" x14ac:dyDescent="0.25">
      <c r="A36" s="166"/>
      <c r="B36" s="168">
        <v>20</v>
      </c>
      <c r="C36" s="168">
        <v>4</v>
      </c>
      <c r="D36" s="168">
        <v>2</v>
      </c>
      <c r="E36" s="10">
        <v>10</v>
      </c>
      <c r="F36" s="169">
        <f>E36+SUM($I$16:I35)</f>
        <v>4897.0427056467943</v>
      </c>
      <c r="G36" s="169">
        <f>IF($Z$11="Notional",F36+AA36,F36+AB36)</f>
        <v>5049.3377056467943</v>
      </c>
      <c r="H36" s="169">
        <f t="shared" si="0"/>
        <v>1415.171264110943</v>
      </c>
      <c r="I36" s="169">
        <f>IF($Z$11&lt;&gt;"Flat",H36+AA36,H36+AB36)</f>
        <v>1567.466264110943</v>
      </c>
      <c r="J36" s="169">
        <f>SUM($I$16:I35)</f>
        <v>4887.0427056467943</v>
      </c>
      <c r="K36" s="169">
        <f>SUM($I$16:I36)</f>
        <v>6454.5089697577368</v>
      </c>
      <c r="L36" s="169">
        <f t="shared" si="1"/>
        <v>12503.197769757739</v>
      </c>
      <c r="M36" s="169">
        <f t="shared" si="2"/>
        <v>5094.6165507993946</v>
      </c>
      <c r="N36" s="212">
        <f t="shared" si="6"/>
        <v>141.5171264110943</v>
      </c>
      <c r="O36" s="25">
        <v>10</v>
      </c>
      <c r="P36" s="170"/>
      <c r="Q36" s="149">
        <v>36</v>
      </c>
      <c r="R36" s="171">
        <v>0</v>
      </c>
      <c r="S36" s="172">
        <f t="shared" si="7"/>
        <v>1.6556299999999999</v>
      </c>
      <c r="T36" s="173">
        <f>IF($Z$9=1,$L$7*$L$8*S36,IF($Z$9=2,$L$7*$L$8/S36,IF($Z$9=3,$L$7*$L$8/S36,IF($Z$9=4,$L$7*$L$8,""))))</f>
        <v>0.6039996859201634</v>
      </c>
      <c r="U36" s="174">
        <f t="shared" si="8"/>
        <v>1.2907999999999999</v>
      </c>
      <c r="V36" s="174">
        <f t="shared" si="9"/>
        <v>198.4</v>
      </c>
      <c r="W36" s="172">
        <f t="shared" si="3"/>
        <v>198.399</v>
      </c>
      <c r="X36" s="172">
        <f>$L$7*SUM($I$16:I35)/(T36*AC36)</f>
        <v>3.4533224561459673E-3</v>
      </c>
      <c r="Y36" s="172">
        <f t="shared" si="4"/>
        <v>198.40360000000001</v>
      </c>
      <c r="Z36" s="175">
        <f t="shared" si="5"/>
        <v>3024344.4000000004</v>
      </c>
      <c r="AA36" s="169">
        <f>AC36*U36*$Q$9</f>
        <v>196.58238600000001</v>
      </c>
      <c r="AB36" s="169">
        <f>AC36*1*$Q$9</f>
        <v>152.29500000000002</v>
      </c>
      <c r="AC36" s="176">
        <f>IF($Z$10="Yes",ROUNDUP(F36/(Aux!B22-Aux!C22),2),F36/(Aux!B22-Aux!C22))</f>
        <v>23.430000000000003</v>
      </c>
      <c r="AD36" s="176">
        <f>IF($Z$10="Yes",ROUNDUP(G36/(Aux!B22-Aux!C22),2),G36/(Aux!B22-Aux!C22))</f>
        <v>24.16</v>
      </c>
      <c r="AE36" s="169">
        <f>IF(AF36="Short",AC36*U36*$L$8*$AE$9, AC36*U36*$L$8*$AE$9)</f>
        <v>6048.6888000000008</v>
      </c>
      <c r="AF36" s="167" t="s">
        <v>46</v>
      </c>
      <c r="AG36" s="168"/>
      <c r="AJ36" s="71"/>
      <c r="BD36" s="1"/>
      <c r="BE36" s="1"/>
    </row>
    <row r="37" spans="1:57" x14ac:dyDescent="0.25">
      <c r="B37" s="54">
        <v>21</v>
      </c>
      <c r="C37" s="54">
        <v>4</v>
      </c>
      <c r="D37" s="54">
        <v>3</v>
      </c>
      <c r="E37" s="10">
        <v>0</v>
      </c>
      <c r="F37" s="55">
        <f>E37+SUM($I$16:I36)</f>
        <v>6454.5089697577368</v>
      </c>
      <c r="G37" s="24">
        <f>IF($Z$11="Notional",F37+AA37,F37+AB37)</f>
        <v>6761.763969757737</v>
      </c>
      <c r="H37" s="55">
        <f t="shared" si="0"/>
        <v>2855.106515344612</v>
      </c>
      <c r="I37" s="55">
        <f>IF($Z$11&lt;&gt;"Flat",H37+AA37,H37+AB37)</f>
        <v>3162.3615153446121</v>
      </c>
      <c r="J37" s="55">
        <f>SUM($I$16:I36)</f>
        <v>6454.5089697577368</v>
      </c>
      <c r="K37" s="55">
        <f>SUM($I$16:I37)</f>
        <v>9616.8704851023485</v>
      </c>
      <c r="L37" s="55">
        <f t="shared" si="1"/>
        <v>21820.093685102347</v>
      </c>
      <c r="M37" s="55">
        <f t="shared" si="2"/>
        <v>6852.2556368270689</v>
      </c>
      <c r="N37" s="211">
        <f t="shared" si="6"/>
        <v>285.5106515344612</v>
      </c>
      <c r="O37" s="25">
        <v>10</v>
      </c>
      <c r="P37" s="25"/>
      <c r="Q37" s="149">
        <v>24</v>
      </c>
      <c r="R37" s="26">
        <v>0</v>
      </c>
      <c r="S37" s="56">
        <f t="shared" si="7"/>
        <v>1.6556299999999999</v>
      </c>
      <c r="T37" s="57">
        <f>IF($Z$9=1,$L$7*$L$8*S37,IF($Z$9=2,$L$7*$L$8/S37,IF($Z$9=3,$L$7*$L$8/S37,IF($Z$9=4,$L$7*$L$8,""))))</f>
        <v>0.6039996859201634</v>
      </c>
      <c r="U37" s="58">
        <f t="shared" si="8"/>
        <v>1.2907999999999999</v>
      </c>
      <c r="V37" s="58">
        <f t="shared" si="9"/>
        <v>198.4</v>
      </c>
      <c r="W37" s="56">
        <f t="shared" si="3"/>
        <v>198.40100000000001</v>
      </c>
      <c r="X37" s="56">
        <f>$L$7*SUM($I$16:I36)/(T37*AC37)</f>
        <v>2.2606893771102182E-3</v>
      </c>
      <c r="Y37" s="56">
        <f t="shared" si="4"/>
        <v>198.39760000000001</v>
      </c>
      <c r="Z37" s="59">
        <f t="shared" si="5"/>
        <v>6101611.5999999987</v>
      </c>
      <c r="AA37" s="55">
        <f>AC37*U37*$Q$9</f>
        <v>396.60475399999996</v>
      </c>
      <c r="AB37" s="55">
        <f>AC37*1*$Q$9</f>
        <v>307.255</v>
      </c>
      <c r="AC37" s="142">
        <f>IF($Z$10="Yes",ROUNDUP(F37/(Aux!B23-Aux!C23),2),F37/(Aux!B23-Aux!C23))</f>
        <v>47.269999999999996</v>
      </c>
      <c r="AD37" s="142">
        <f>IF($Z$10="Yes",ROUNDUP(G37/(Aux!B23-Aux!C23),2),G37/(Aux!B23-Aux!C23))</f>
        <v>49.519999999999996</v>
      </c>
      <c r="AE37" s="24">
        <f>IF(AF37="Short",AC37*U37*$L$8*$AE$9, AC37*U37*$L$8*$AE$9)</f>
        <v>12203.223199999999</v>
      </c>
      <c r="AF37" s="151" t="s">
        <v>47</v>
      </c>
      <c r="AJ37" s="71"/>
      <c r="BD37" s="1"/>
      <c r="BE37" s="1"/>
    </row>
    <row r="38" spans="1:57" x14ac:dyDescent="0.25">
      <c r="B38" s="54">
        <v>22</v>
      </c>
      <c r="C38" s="54">
        <v>4</v>
      </c>
      <c r="D38" s="54">
        <v>4</v>
      </c>
      <c r="E38" s="10">
        <v>10</v>
      </c>
      <c r="F38" s="55">
        <f>E38+SUM($I$16:I37)</f>
        <v>9626.8704851023485</v>
      </c>
      <c r="G38" s="24">
        <f>IF($Z$11="Notional",F38+AA38,F38+AB38)</f>
        <v>9926.260485102348</v>
      </c>
      <c r="H38" s="55">
        <f t="shared" si="0"/>
        <v>2782.0225533482721</v>
      </c>
      <c r="I38" s="55">
        <f>IF($Z$11&lt;&gt;"Flat",H38+AA38,H38+AB38)</f>
        <v>3081.412553348272</v>
      </c>
      <c r="J38" s="55">
        <f>SUM($I$16:I37)</f>
        <v>9616.8704851023485</v>
      </c>
      <c r="K38" s="55">
        <f>SUM($I$16:I38)</f>
        <v>12698.28303845062</v>
      </c>
      <c r="L38" s="55">
        <f t="shared" si="1"/>
        <v>24589.132638450617</v>
      </c>
      <c r="M38" s="55">
        <f t="shared" si="2"/>
        <v>10015.281192053781</v>
      </c>
      <c r="N38" s="211">
        <f t="shared" si="6"/>
        <v>278.20225533482721</v>
      </c>
      <c r="O38" s="25">
        <v>10</v>
      </c>
      <c r="P38" s="25"/>
      <c r="Q38" s="149">
        <v>36</v>
      </c>
      <c r="R38" s="26">
        <v>0</v>
      </c>
      <c r="S38" s="56">
        <f t="shared" si="7"/>
        <v>1.6556299999999999</v>
      </c>
      <c r="T38" s="57">
        <f>IF($Z$9=1,$L$7*$L$8*S38,IF($Z$9=2,$L$7*$L$8/S38,IF($Z$9=3,$L$7*$L$8/S38,IF($Z$9=4,$L$7*$L$8,""))))</f>
        <v>0.6039996859201634</v>
      </c>
      <c r="U38" s="58">
        <f t="shared" si="8"/>
        <v>1.2907999999999999</v>
      </c>
      <c r="V38" s="58">
        <f t="shared" si="9"/>
        <v>198.4</v>
      </c>
      <c r="W38" s="56">
        <f t="shared" si="3"/>
        <v>198.399</v>
      </c>
      <c r="X38" s="56">
        <f>$L$7*SUM($I$16:I37)/(T38*AC38)</f>
        <v>3.4567909859422497E-3</v>
      </c>
      <c r="Y38" s="56">
        <f t="shared" si="4"/>
        <v>198.40360000000001</v>
      </c>
      <c r="Z38" s="59">
        <f t="shared" si="5"/>
        <v>5945424.7999999989</v>
      </c>
      <c r="AA38" s="55">
        <f>AC38*U38*$Q$9</f>
        <v>386.45261199999993</v>
      </c>
      <c r="AB38" s="55">
        <f>AC38*1*$Q$9</f>
        <v>299.39</v>
      </c>
      <c r="AC38" s="142">
        <f>IF($Z$10="Yes",ROUNDUP(F38/(Aux!B24-Aux!C24),2),F38/(Aux!B24-Aux!C24))</f>
        <v>46.059999999999995</v>
      </c>
      <c r="AD38" s="142">
        <f>IF($Z$10="Yes",ROUNDUP(G38/(Aux!B24-Aux!C24),2),G38/(Aux!B24-Aux!C24))</f>
        <v>47.489999999999995</v>
      </c>
      <c r="AE38" s="24">
        <f>IF(AF38="Short",AC38*U38*$L$8*$AE$9, AC38*U38*$L$8*$AE$9)</f>
        <v>11890.849599999998</v>
      </c>
      <c r="AF38" s="152" t="s">
        <v>46</v>
      </c>
      <c r="AJ38" s="71"/>
      <c r="BD38" s="1"/>
      <c r="BE38" s="1"/>
    </row>
    <row r="39" spans="1:57" x14ac:dyDescent="0.25">
      <c r="B39" s="54">
        <v>23</v>
      </c>
      <c r="C39" s="54">
        <v>4</v>
      </c>
      <c r="D39" s="54">
        <v>5</v>
      </c>
      <c r="E39" s="10">
        <v>0</v>
      </c>
      <c r="F39" s="55">
        <f>E39+SUM($I$16:I38)</f>
        <v>12698.28303845062</v>
      </c>
      <c r="G39" s="24">
        <f>IF($Z$11="Notional",F39+AA39,F39+AB39)</f>
        <v>13302.718038450619</v>
      </c>
      <c r="H39" s="55">
        <f t="shared" si="0"/>
        <v>5616.5930793715997</v>
      </c>
      <c r="I39" s="55">
        <f>IF($Z$11&lt;&gt;"Flat",H39+AA39,H39+AB39)</f>
        <v>6221.0280793716001</v>
      </c>
      <c r="J39" s="55">
        <f>SUM($I$16:I38)</f>
        <v>12698.28303845062</v>
      </c>
      <c r="K39" s="55">
        <f>SUM($I$16:I39)</f>
        <v>18919.311117822221</v>
      </c>
      <c r="L39" s="55">
        <f t="shared" si="1"/>
        <v>42925.609517822217</v>
      </c>
      <c r="M39" s="55">
        <f t="shared" si="2"/>
        <v>13479.82339049184</v>
      </c>
      <c r="N39" s="211">
        <f t="shared" si="6"/>
        <v>561.65930793715995</v>
      </c>
      <c r="O39" s="25">
        <v>10</v>
      </c>
      <c r="P39" s="25"/>
      <c r="Q39" s="149">
        <v>24</v>
      </c>
      <c r="R39" s="26">
        <v>0</v>
      </c>
      <c r="S39" s="56">
        <f t="shared" si="7"/>
        <v>1.6556299999999999</v>
      </c>
      <c r="T39" s="57">
        <f>IF($Z$9=1,$L$7*$L$8*S39,IF($Z$9=2,$L$7*$L$8/S39,IF($Z$9=3,$L$7*$L$8/S39,IF($Z$9=4,$L$7*$L$8,""))))</f>
        <v>0.6039996859201634</v>
      </c>
      <c r="U39" s="58">
        <f t="shared" si="8"/>
        <v>1.2907999999999999</v>
      </c>
      <c r="V39" s="58">
        <f t="shared" si="9"/>
        <v>198.4</v>
      </c>
      <c r="W39" s="56">
        <f t="shared" si="3"/>
        <v>198.40100000000001</v>
      </c>
      <c r="X39" s="56">
        <f>$L$7*SUM($I$16:I38)/(T39*AC39)</f>
        <v>2.2608515267179261E-3</v>
      </c>
      <c r="Y39" s="56">
        <f t="shared" si="4"/>
        <v>198.39760000000001</v>
      </c>
      <c r="Z39" s="59">
        <f t="shared" si="5"/>
        <v>12003149.199999999</v>
      </c>
      <c r="AA39" s="55">
        <f>AC39*U39*$Q$9</f>
        <v>780.20469800000001</v>
      </c>
      <c r="AB39" s="55">
        <f>AC39*1*$Q$9</f>
        <v>604.43500000000006</v>
      </c>
      <c r="AC39" s="142">
        <f>IF($Z$10="Yes",ROUNDUP(F39/(Aux!B25-Aux!C25),2),F39/(Aux!B25-Aux!C25))</f>
        <v>92.990000000000009</v>
      </c>
      <c r="AD39" s="142">
        <f>IF($Z$10="Yes",ROUNDUP(G39/(Aux!B25-Aux!C25),2),G39/(Aux!B25-Aux!C25))</f>
        <v>97.410000000000011</v>
      </c>
      <c r="AE39" s="24">
        <f>IF(AF39="Short",AC39*U39*$L$8*$AE$9, AC39*U39*$L$8*$AE$9)</f>
        <v>24006.2984</v>
      </c>
      <c r="AF39" s="151" t="s">
        <v>47</v>
      </c>
      <c r="AJ39" s="71"/>
      <c r="BD39" s="1"/>
      <c r="BE39" s="1"/>
    </row>
    <row r="40" spans="1:57" ht="15.75" x14ac:dyDescent="0.25">
      <c r="B40" s="83">
        <v>24</v>
      </c>
      <c r="C40" s="54">
        <v>4</v>
      </c>
      <c r="D40" s="54">
        <v>6</v>
      </c>
      <c r="E40" s="10">
        <v>10</v>
      </c>
      <c r="F40" s="140">
        <f>E40+SUM($I$16:I39)</f>
        <v>18929.311117822221</v>
      </c>
      <c r="G40" s="24">
        <f>IF($Z$11="Notional",F40+AA40,F40+AB40)</f>
        <v>19517.886117822221</v>
      </c>
      <c r="H40" s="140">
        <f t="shared" si="0"/>
        <v>5469.2171560070801</v>
      </c>
      <c r="I40" s="140">
        <f>IF($Z$11&lt;&gt;"Flat",H40+AA40,H40+AB40)</f>
        <v>6057.7921560070799</v>
      </c>
      <c r="J40" s="140">
        <f>SUM($I$16:I39)</f>
        <v>18919.311117822221</v>
      </c>
      <c r="K40" s="140">
        <f>SUM($I$16:I40)</f>
        <v>24977.1032738293</v>
      </c>
      <c r="L40" s="140">
        <f t="shared" si="1"/>
        <v>48353.491273829306</v>
      </c>
      <c r="M40" s="55">
        <f t="shared" si="2"/>
        <v>19689.181761625485</v>
      </c>
      <c r="N40" s="211">
        <f t="shared" si="6"/>
        <v>546.9217156007079</v>
      </c>
      <c r="O40" s="25">
        <v>10</v>
      </c>
      <c r="P40" s="25"/>
      <c r="Q40" s="149">
        <v>36</v>
      </c>
      <c r="R40" s="26">
        <v>0</v>
      </c>
      <c r="S40" s="56">
        <f t="shared" si="7"/>
        <v>1.6556299999999999</v>
      </c>
      <c r="T40" s="57">
        <f>IF($Z$9=1,$L$7*$L$8*S40,IF($Z$9=2,$L$7*$L$8/S40,IF($Z$9=3,$L$7*$L$8/S40,IF($Z$9=4,$L$7*$L$8,""))))</f>
        <v>0.6039996859201634</v>
      </c>
      <c r="U40" s="58">
        <f t="shared" si="8"/>
        <v>1.2907999999999999</v>
      </c>
      <c r="V40" s="58">
        <f t="shared" si="9"/>
        <v>198.4</v>
      </c>
      <c r="W40" s="56">
        <f t="shared" si="3"/>
        <v>198.399</v>
      </c>
      <c r="X40" s="56">
        <f>$L$7*SUM($I$16:I39)/(T40*AC40)</f>
        <v>3.4592356781888455E-3</v>
      </c>
      <c r="Y40" s="56">
        <f t="shared" si="4"/>
        <v>198.40360000000001</v>
      </c>
      <c r="Z40" s="59">
        <f t="shared" si="5"/>
        <v>11688194.000000002</v>
      </c>
      <c r="AA40" s="55">
        <f>AC40*U40*$Q$9</f>
        <v>759.73261000000014</v>
      </c>
      <c r="AB40" s="55">
        <f>AC40*1*$Q$9</f>
        <v>588.57500000000005</v>
      </c>
      <c r="AC40" s="141">
        <f>IF($Z$10="Yes",ROUNDUP(F40/(Aux!B26-Aux!C26),2),F40/(Aux!B26-Aux!C26))</f>
        <v>90.550000000000011</v>
      </c>
      <c r="AD40" s="141">
        <f>IF($Z$10="Yes",ROUNDUP(G40/(Aux!B26-Aux!C26),2),G40/(Aux!B26-Aux!C26))</f>
        <v>93.37</v>
      </c>
      <c r="AE40" s="144">
        <f>IF(AF40="Short",AC40*U40*$L$8*$AE$9, AC40*U40*$L$8*$AE$9)</f>
        <v>23376.388000000003</v>
      </c>
      <c r="AF40" s="152" t="s">
        <v>46</v>
      </c>
      <c r="AJ40" s="71"/>
      <c r="BD40" s="1"/>
      <c r="BE40" s="1"/>
    </row>
    <row r="41" spans="1:57" ht="59.25" customHeight="1" x14ac:dyDescent="0.25">
      <c r="B41" s="4"/>
      <c r="E41" s="2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61"/>
      <c r="Q41" s="61"/>
      <c r="R41" s="61"/>
      <c r="S41" s="62"/>
      <c r="T41" s="63"/>
      <c r="U41" s="12"/>
      <c r="V41" s="12"/>
      <c r="W41" s="62"/>
      <c r="X41" s="62"/>
      <c r="Y41" s="62"/>
      <c r="Z41" s="64"/>
      <c r="AA41" s="60"/>
      <c r="AB41" s="60"/>
      <c r="AC41" s="65"/>
      <c r="AD41" s="65"/>
      <c r="AE41" s="66"/>
      <c r="AH41" s="70"/>
      <c r="AI41" s="71"/>
      <c r="AJ41" s="71"/>
      <c r="BD41" s="1"/>
      <c r="BE41" s="1"/>
    </row>
    <row r="42" spans="1:57" x14ac:dyDescent="0.25">
      <c r="B42" s="4">
        <v>24</v>
      </c>
      <c r="C42" s="1">
        <v>4</v>
      </c>
      <c r="D42" s="1">
        <v>6</v>
      </c>
      <c r="E42" s="2">
        <v>33</v>
      </c>
      <c r="F42" s="60">
        <v>8181.3982194531436</v>
      </c>
      <c r="G42" s="60">
        <v>8434.1703034474649</v>
      </c>
      <c r="H42" s="60">
        <v>2108.5425758618662</v>
      </c>
      <c r="I42" s="60">
        <v>2361.3146598561866</v>
      </c>
      <c r="J42" s="60">
        <v>8148.3982194531436</v>
      </c>
      <c r="K42" s="60">
        <v>10509.712879309331</v>
      </c>
      <c r="L42" s="60">
        <v>61064.129678173442</v>
      </c>
      <c r="M42" s="60">
        <v>8434.1703034474649</v>
      </c>
      <c r="N42" s="60">
        <v>421.70851517237327</v>
      </c>
      <c r="O42" s="61">
        <v>5</v>
      </c>
      <c r="P42" s="61"/>
      <c r="Q42" s="61">
        <v>20</v>
      </c>
      <c r="R42" s="61">
        <v>0</v>
      </c>
      <c r="S42" s="62">
        <v>1.1988000000000001</v>
      </c>
      <c r="T42" s="63">
        <v>1</v>
      </c>
      <c r="U42" s="12">
        <v>1.1988000000000001</v>
      </c>
      <c r="V42" s="12">
        <v>1.1988000000000001</v>
      </c>
      <c r="W42" s="62">
        <v>1.1983000000000001</v>
      </c>
      <c r="X42" s="62">
        <v>1.9322346896700649E-3</v>
      </c>
      <c r="Y42" s="62">
        <v>1.2008000000000001</v>
      </c>
      <c r="Z42" s="64">
        <v>5055441.6798864109</v>
      </c>
      <c r="AA42" s="60">
        <v>252.77208399432055</v>
      </c>
      <c r="AB42" s="60">
        <v>210.85425758618663</v>
      </c>
      <c r="AC42" s="65">
        <v>42.170851517237324</v>
      </c>
      <c r="AD42" s="65">
        <v>43.473760107664013</v>
      </c>
      <c r="AE42" s="1">
        <v>50554.416798864113</v>
      </c>
      <c r="AF42" s="1" t="s">
        <v>46</v>
      </c>
      <c r="AH42" s="70"/>
      <c r="AI42" s="71"/>
      <c r="AJ42" s="71"/>
      <c r="BD42" s="1"/>
      <c r="BE42" s="1"/>
    </row>
    <row r="43" spans="1:57" x14ac:dyDescent="0.25">
      <c r="B43" s="4"/>
      <c r="E43" s="2"/>
      <c r="F43" s="60"/>
      <c r="G43" s="60"/>
      <c r="H43" s="60"/>
      <c r="I43" s="60"/>
      <c r="J43" s="60"/>
      <c r="K43" s="60"/>
      <c r="L43" s="60"/>
      <c r="M43" s="60"/>
      <c r="N43" s="60"/>
      <c r="O43" s="61"/>
      <c r="P43" s="61"/>
      <c r="Q43" s="61"/>
      <c r="R43" s="61"/>
      <c r="S43" s="62"/>
      <c r="T43" s="63"/>
      <c r="U43" s="12"/>
      <c r="V43" s="12"/>
      <c r="W43" s="62"/>
      <c r="X43" s="62"/>
      <c r="Y43" s="62"/>
      <c r="Z43" s="64"/>
      <c r="AA43" s="60"/>
      <c r="AB43" s="60"/>
      <c r="AC43" s="65"/>
      <c r="AD43" s="65"/>
      <c r="AE43" s="66"/>
      <c r="AH43" s="70"/>
      <c r="AI43" s="71"/>
      <c r="AJ43" s="71"/>
      <c r="BD43" s="1"/>
      <c r="BE43" s="1"/>
    </row>
    <row r="44" spans="1:57" x14ac:dyDescent="0.25">
      <c r="B44" s="4"/>
      <c r="E44" s="2"/>
      <c r="F44" s="60"/>
      <c r="G44" s="60"/>
      <c r="H44" s="60"/>
      <c r="I44" s="60"/>
      <c r="J44" s="60"/>
      <c r="K44" s="60"/>
      <c r="L44" s="60"/>
      <c r="M44" s="60"/>
      <c r="N44" s="60"/>
      <c r="O44" s="61"/>
      <c r="P44" s="61"/>
      <c r="Q44" s="61"/>
      <c r="R44" s="61"/>
      <c r="S44" s="62"/>
      <c r="T44" s="63"/>
      <c r="U44" s="12"/>
      <c r="V44" s="12"/>
      <c r="W44" s="62"/>
      <c r="X44" s="62"/>
      <c r="Y44" s="62"/>
      <c r="Z44" s="64"/>
      <c r="AA44" s="60"/>
      <c r="AB44" s="60"/>
      <c r="AC44" s="65"/>
      <c r="AD44" s="65"/>
      <c r="AH44" s="70"/>
      <c r="AI44" s="71"/>
      <c r="AJ44" s="71"/>
      <c r="BD44" s="1"/>
      <c r="BE44" s="1"/>
    </row>
    <row r="45" spans="1:57" x14ac:dyDescent="0.25">
      <c r="B45" s="4"/>
      <c r="E45" s="2"/>
      <c r="F45" s="60"/>
      <c r="G45" s="60"/>
      <c r="H45" s="60"/>
      <c r="I45" s="60"/>
      <c r="J45" s="60"/>
      <c r="K45" s="60"/>
      <c r="L45" s="60"/>
      <c r="M45" s="60"/>
      <c r="N45" s="60"/>
      <c r="O45" s="61"/>
      <c r="P45" s="61"/>
      <c r="Q45" s="61"/>
      <c r="R45" s="61"/>
      <c r="S45" s="62"/>
      <c r="T45" s="63"/>
      <c r="U45" s="12"/>
      <c r="V45" s="12"/>
      <c r="W45" s="62"/>
      <c r="X45" s="62"/>
      <c r="Y45" s="62"/>
      <c r="Z45" s="64"/>
      <c r="AA45" s="60"/>
      <c r="AB45" s="60"/>
      <c r="AC45" s="65"/>
      <c r="AD45" s="65"/>
      <c r="AE45" s="66"/>
      <c r="AH45" s="70"/>
      <c r="AI45" s="71"/>
      <c r="AJ45" s="71"/>
      <c r="BD45" s="1"/>
      <c r="BE45" s="1"/>
    </row>
    <row r="46" spans="1:57" x14ac:dyDescent="0.25">
      <c r="B46" s="4"/>
      <c r="E46" s="2"/>
      <c r="F46" s="60"/>
      <c r="G46" s="60"/>
      <c r="H46" s="60"/>
      <c r="I46" s="60"/>
      <c r="J46" s="60"/>
      <c r="K46" s="60"/>
      <c r="L46" s="60"/>
      <c r="M46" s="60"/>
      <c r="N46" s="60"/>
      <c r="O46" s="61"/>
      <c r="P46" s="61"/>
      <c r="Q46" s="61"/>
      <c r="R46" s="61"/>
      <c r="S46" s="62"/>
      <c r="T46" s="63"/>
      <c r="U46" s="12"/>
      <c r="V46" s="12"/>
      <c r="W46" s="62"/>
      <c r="X46" s="62"/>
      <c r="Y46" s="62"/>
      <c r="Z46" s="64"/>
      <c r="AA46" s="60"/>
      <c r="AB46" s="60"/>
      <c r="AC46" s="65"/>
      <c r="AD46" s="65"/>
      <c r="AH46" s="70"/>
      <c r="AI46" s="71"/>
      <c r="AJ46" s="71"/>
      <c r="BD46" s="1"/>
      <c r="BE46" s="1"/>
    </row>
    <row r="47" spans="1:57" x14ac:dyDescent="0.25">
      <c r="B47" s="4"/>
      <c r="C47" s="4"/>
      <c r="D47" s="4"/>
      <c r="E47" s="2"/>
      <c r="F47" s="60"/>
      <c r="G47" s="60"/>
      <c r="H47" s="60"/>
      <c r="I47" s="60"/>
      <c r="J47" s="60"/>
      <c r="K47" s="60"/>
      <c r="L47" s="60"/>
      <c r="M47" s="60"/>
      <c r="N47" s="60"/>
      <c r="O47" s="61"/>
      <c r="P47" s="61"/>
      <c r="Q47" s="61"/>
      <c r="R47" s="61"/>
      <c r="S47" s="62"/>
      <c r="T47" s="63"/>
      <c r="U47" s="12"/>
      <c r="V47" s="12"/>
      <c r="W47" s="62"/>
      <c r="X47" s="62"/>
      <c r="Y47" s="62"/>
      <c r="Z47" s="64"/>
      <c r="AA47" s="60"/>
      <c r="AB47" s="60"/>
      <c r="AC47" s="65"/>
      <c r="AD47" s="65"/>
      <c r="AE47" s="66"/>
      <c r="AH47" s="70"/>
      <c r="AI47" s="71"/>
      <c r="AJ47" s="71"/>
      <c r="BD47" s="1"/>
      <c r="BE47" s="1"/>
    </row>
    <row r="48" spans="1:57" x14ac:dyDescent="0.25">
      <c r="B48" s="4"/>
      <c r="C48" s="4"/>
      <c r="D48" s="4"/>
      <c r="E48" s="2"/>
      <c r="F48" s="60"/>
      <c r="G48" s="60"/>
      <c r="H48" s="60"/>
      <c r="I48" s="60"/>
      <c r="J48" s="60"/>
      <c r="K48" s="60"/>
      <c r="L48" s="60"/>
      <c r="M48" s="60"/>
      <c r="N48" s="60"/>
      <c r="O48" s="61"/>
      <c r="P48" s="61"/>
      <c r="Q48" s="61"/>
      <c r="R48" s="61"/>
      <c r="S48" s="62"/>
      <c r="T48" s="63"/>
      <c r="U48" s="12"/>
      <c r="V48" s="12"/>
      <c r="W48" s="62"/>
      <c r="X48" s="62"/>
      <c r="Y48" s="62"/>
      <c r="Z48" s="64"/>
      <c r="AA48" s="60"/>
      <c r="AB48" s="60"/>
      <c r="AC48" s="65"/>
      <c r="AD48" s="65"/>
      <c r="AH48" s="70"/>
      <c r="AI48" s="71"/>
      <c r="AJ48" s="71"/>
      <c r="BD48" s="1"/>
      <c r="BE48" s="1"/>
    </row>
    <row r="49" spans="2:57" x14ac:dyDescent="0.25">
      <c r="B49" s="4"/>
      <c r="C49" s="4"/>
      <c r="D49" s="4"/>
      <c r="E49" s="2"/>
      <c r="F49" s="60"/>
      <c r="G49" s="60"/>
      <c r="H49" s="60"/>
      <c r="I49" s="60"/>
      <c r="J49" s="60"/>
      <c r="K49" s="60"/>
      <c r="L49" s="60"/>
      <c r="M49" s="60"/>
      <c r="N49" s="60"/>
      <c r="O49" s="61"/>
      <c r="P49" s="61"/>
      <c r="Q49" s="61"/>
      <c r="R49" s="61"/>
      <c r="S49" s="62"/>
      <c r="T49" s="63"/>
      <c r="U49" s="12"/>
      <c r="V49" s="12"/>
      <c r="W49" s="62"/>
      <c r="X49" s="62"/>
      <c r="Y49" s="62"/>
      <c r="Z49" s="64"/>
      <c r="AA49" s="60"/>
      <c r="AB49" s="60"/>
      <c r="AC49" s="65"/>
      <c r="AD49" s="65"/>
      <c r="AE49" s="66"/>
      <c r="AH49" s="70"/>
      <c r="AI49" s="71"/>
      <c r="AJ49" s="71"/>
      <c r="BD49" s="1"/>
      <c r="BE49" s="1"/>
    </row>
    <row r="50" spans="2:57" x14ac:dyDescent="0.25">
      <c r="B50" s="4"/>
      <c r="C50" s="4"/>
      <c r="D50" s="4"/>
      <c r="E50" s="2"/>
      <c r="F50" s="60"/>
      <c r="G50" s="60"/>
      <c r="H50" s="60"/>
      <c r="I50" s="60"/>
      <c r="J50" s="60"/>
      <c r="K50" s="60"/>
      <c r="L50" s="60"/>
      <c r="M50" s="60"/>
      <c r="N50" s="60"/>
      <c r="O50" s="61"/>
      <c r="P50" s="61"/>
      <c r="Q50" s="61"/>
      <c r="R50" s="61"/>
      <c r="S50" s="62"/>
      <c r="T50" s="63"/>
      <c r="U50" s="12"/>
      <c r="V50" s="12"/>
      <c r="W50" s="62"/>
      <c r="X50" s="62"/>
      <c r="Y50" s="62"/>
      <c r="Z50" s="64"/>
      <c r="AA50" s="60"/>
      <c r="AB50" s="60"/>
      <c r="AC50" s="65"/>
      <c r="AD50" s="65"/>
      <c r="AH50" s="70"/>
      <c r="AI50" s="71"/>
      <c r="AJ50" s="71"/>
      <c r="BD50" s="1"/>
      <c r="BE50" s="1"/>
    </row>
    <row r="51" spans="2:57" x14ac:dyDescent="0.25">
      <c r="B51" s="4"/>
      <c r="C51" s="4"/>
      <c r="D51" s="4"/>
      <c r="E51" s="2"/>
      <c r="F51" s="60"/>
      <c r="G51" s="60"/>
      <c r="H51" s="60"/>
      <c r="I51" s="60"/>
      <c r="J51" s="60"/>
      <c r="K51" s="60"/>
      <c r="L51" s="60"/>
      <c r="M51" s="60"/>
      <c r="N51" s="60"/>
      <c r="O51" s="61"/>
      <c r="P51" s="61"/>
      <c r="Q51" s="61"/>
      <c r="R51" s="61"/>
      <c r="S51" s="62"/>
      <c r="T51" s="63"/>
      <c r="U51" s="12"/>
      <c r="V51" s="12"/>
      <c r="W51" s="62"/>
      <c r="X51" s="62"/>
      <c r="Y51" s="62"/>
      <c r="Z51" s="64"/>
      <c r="AA51" s="60"/>
      <c r="AB51" s="60"/>
      <c r="AC51" s="65"/>
      <c r="AD51" s="65"/>
      <c r="AE51" s="66"/>
      <c r="AH51" s="70"/>
      <c r="AI51" s="71"/>
      <c r="AJ51" s="71"/>
      <c r="BD51" s="1"/>
      <c r="BE51" s="1"/>
    </row>
    <row r="52" spans="2:57" x14ac:dyDescent="0.25">
      <c r="D52" s="4"/>
      <c r="E52" s="2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61"/>
      <c r="Q52" s="61"/>
      <c r="R52" s="61"/>
      <c r="S52" s="62"/>
      <c r="T52" s="63"/>
      <c r="U52" s="12"/>
      <c r="V52" s="12"/>
      <c r="W52" s="62"/>
      <c r="X52" s="62"/>
      <c r="Y52" s="62"/>
      <c r="Z52" s="64"/>
      <c r="AA52" s="60"/>
      <c r="AB52" s="60"/>
      <c r="AC52" s="65"/>
      <c r="AD52" s="65"/>
      <c r="AH52" s="70"/>
      <c r="AI52" s="71"/>
      <c r="AJ52" s="71"/>
      <c r="BD52" s="1"/>
      <c r="BE52" s="1"/>
    </row>
    <row r="53" spans="2:57" x14ac:dyDescent="0.25">
      <c r="I53" s="73" t="s">
        <v>48</v>
      </c>
      <c r="J53" s="73"/>
      <c r="K53" s="73"/>
      <c r="L53" s="73"/>
      <c r="Q53" s="61"/>
      <c r="R53" s="61"/>
      <c r="BD53" s="1"/>
      <c r="BE53" s="1"/>
    </row>
    <row r="54" spans="2:57" x14ac:dyDescent="0.25">
      <c r="R54" s="61"/>
      <c r="T54" s="1" t="s">
        <v>49</v>
      </c>
      <c r="BD54" s="1"/>
      <c r="BE54" s="1"/>
    </row>
    <row r="55" spans="2:57" x14ac:dyDescent="0.25">
      <c r="I55" s="73"/>
      <c r="J55" s="73"/>
      <c r="K55" s="73"/>
      <c r="L55" s="73"/>
      <c r="Q55" s="73"/>
      <c r="S55" s="74"/>
      <c r="BD55" s="1"/>
      <c r="BE55" s="1"/>
    </row>
    <row r="56" spans="2:57" x14ac:dyDescent="0.25">
      <c r="I56" s="73"/>
      <c r="J56" s="73"/>
      <c r="K56" s="73"/>
      <c r="L56" s="73"/>
      <c r="M56" s="65"/>
      <c r="N56" s="65"/>
      <c r="Q56" s="60"/>
      <c r="S56" s="74"/>
      <c r="U56" s="75"/>
      <c r="V56" s="75"/>
      <c r="BD56" s="1"/>
      <c r="BE56" s="1"/>
    </row>
    <row r="57" spans="2:57" x14ac:dyDescent="0.25">
      <c r="I57" s="73"/>
      <c r="J57" s="73"/>
      <c r="K57" s="73"/>
      <c r="L57" s="73"/>
      <c r="M57" s="65"/>
      <c r="N57" s="65"/>
      <c r="Q57" s="60"/>
      <c r="S57" s="74"/>
      <c r="U57" s="75"/>
      <c r="V57" s="75"/>
      <c r="BD57" s="1"/>
      <c r="BE57" s="1"/>
    </row>
    <row r="58" spans="2:57" x14ac:dyDescent="0.25">
      <c r="I58" s="73"/>
      <c r="J58" s="73"/>
      <c r="K58" s="73"/>
      <c r="L58" s="73"/>
      <c r="M58" s="65"/>
      <c r="N58" s="65"/>
      <c r="Q58" s="60"/>
      <c r="S58" s="74"/>
      <c r="U58" s="75"/>
      <c r="V58" s="75"/>
      <c r="BD58" s="1"/>
      <c r="BE58" s="1"/>
    </row>
    <row r="59" spans="2:57" x14ac:dyDescent="0.25">
      <c r="BD59" s="1"/>
      <c r="BE59" s="1"/>
    </row>
    <row r="60" spans="2:57" x14ac:dyDescent="0.25">
      <c r="BD60" s="1"/>
      <c r="BE60" s="1"/>
    </row>
    <row r="61" spans="2:57" ht="15.6" customHeight="1" x14ac:dyDescent="0.25">
      <c r="E61" s="76"/>
      <c r="BD61" s="1"/>
      <c r="BE61" s="1"/>
    </row>
    <row r="62" spans="2:57" ht="14.45" customHeight="1" x14ac:dyDescent="0.25">
      <c r="E62" s="77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BD62" s="1"/>
      <c r="BE62" s="1"/>
    </row>
    <row r="63" spans="2:57" ht="14.45" customHeight="1" x14ac:dyDescent="0.25"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BD63" s="1"/>
      <c r="BE63" s="1"/>
    </row>
    <row r="64" spans="2:57" ht="14.45" customHeight="1" x14ac:dyDescent="0.25"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BD64" s="1"/>
      <c r="BE64" s="1"/>
    </row>
    <row r="65" spans="5:57" ht="14.45" customHeight="1" x14ac:dyDescent="0.25"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BD65" s="1"/>
      <c r="BE65" s="1"/>
    </row>
    <row r="66" spans="5:57" ht="14.45" customHeight="1" x14ac:dyDescent="0.25"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BD66" s="1"/>
      <c r="BE66" s="1"/>
    </row>
    <row r="67" spans="5:57" x14ac:dyDescent="0.25">
      <c r="BD67" s="1"/>
      <c r="BE67" s="1"/>
    </row>
    <row r="68" spans="5:57" x14ac:dyDescent="0.25">
      <c r="BD68" s="1"/>
      <c r="BE68" s="1"/>
    </row>
    <row r="69" spans="5:57" x14ac:dyDescent="0.25">
      <c r="BD69" s="1"/>
      <c r="BE69" s="1"/>
    </row>
    <row r="70" spans="5:57" x14ac:dyDescent="0.25">
      <c r="BD70" s="1"/>
      <c r="BE70" s="1"/>
    </row>
    <row r="71" spans="5:57" x14ac:dyDescent="0.25">
      <c r="BD71" s="1"/>
      <c r="BE71" s="1"/>
    </row>
    <row r="72" spans="5:57" x14ac:dyDescent="0.25">
      <c r="BD72" s="1"/>
      <c r="BE72" s="1"/>
    </row>
    <row r="73" spans="5:57" x14ac:dyDescent="0.25">
      <c r="BD73" s="1"/>
      <c r="BE73" s="1"/>
    </row>
    <row r="74" spans="5:57" x14ac:dyDescent="0.25">
      <c r="BD74" s="1"/>
      <c r="BE74" s="1"/>
    </row>
    <row r="75" spans="5:57" x14ac:dyDescent="0.25">
      <c r="BD75" s="1"/>
      <c r="BE75" s="1"/>
    </row>
    <row r="76" spans="5:57" x14ac:dyDescent="0.25">
      <c r="BD76" s="1"/>
      <c r="BE76" s="1"/>
    </row>
    <row r="77" spans="5:57" x14ac:dyDescent="0.25">
      <c r="BD77" s="1"/>
      <c r="BE77" s="1"/>
    </row>
    <row r="78" spans="5:57" x14ac:dyDescent="0.25">
      <c r="BD78" s="1"/>
      <c r="BE78" s="1"/>
    </row>
    <row r="79" spans="5:57" x14ac:dyDescent="0.25">
      <c r="BD79" s="1"/>
      <c r="BE79" s="1"/>
    </row>
    <row r="80" spans="5:57" x14ac:dyDescent="0.25">
      <c r="BD80" s="1"/>
      <c r="BE80" s="1"/>
    </row>
    <row r="81" spans="56:57" x14ac:dyDescent="0.25">
      <c r="BD81" s="1"/>
      <c r="BE81" s="1"/>
    </row>
    <row r="82" spans="56:57" x14ac:dyDescent="0.25">
      <c r="BD82" s="1"/>
      <c r="BE82" s="1"/>
    </row>
    <row r="83" spans="56:57" x14ac:dyDescent="0.25">
      <c r="BD83" s="1"/>
      <c r="BE83" s="1"/>
    </row>
    <row r="84" spans="56:57" x14ac:dyDescent="0.25">
      <c r="BD84" s="1"/>
      <c r="BE84" s="1"/>
    </row>
    <row r="85" spans="56:57" x14ac:dyDescent="0.25">
      <c r="BD85" s="1"/>
      <c r="BE85" s="1"/>
    </row>
    <row r="86" spans="56:57" x14ac:dyDescent="0.25">
      <c r="BD86" s="1"/>
      <c r="BE86" s="1"/>
    </row>
    <row r="87" spans="56:57" x14ac:dyDescent="0.25">
      <c r="BD87" s="1"/>
      <c r="BE87" s="1"/>
    </row>
    <row r="88" spans="56:57" x14ac:dyDescent="0.25">
      <c r="BD88" s="1"/>
      <c r="BE88" s="1"/>
    </row>
    <row r="89" spans="56:57" x14ac:dyDescent="0.25">
      <c r="BD89" s="1"/>
      <c r="BE89" s="1"/>
    </row>
    <row r="90" spans="56:57" x14ac:dyDescent="0.25">
      <c r="BD90" s="1"/>
      <c r="BE90" s="1"/>
    </row>
    <row r="91" spans="56:57" x14ac:dyDescent="0.25">
      <c r="BD91" s="1"/>
      <c r="BE91" s="1"/>
    </row>
    <row r="92" spans="56:57" x14ac:dyDescent="0.25">
      <c r="BD92" s="1"/>
      <c r="BE92" s="1"/>
    </row>
    <row r="93" spans="56:57" x14ac:dyDescent="0.25">
      <c r="BD93" s="1"/>
      <c r="BE93" s="1"/>
    </row>
    <row r="94" spans="56:57" x14ac:dyDescent="0.25">
      <c r="BD94" s="1"/>
      <c r="BE94" s="1"/>
    </row>
    <row r="95" spans="56:57" x14ac:dyDescent="0.25">
      <c r="BD95" s="1"/>
      <c r="BE95" s="1"/>
    </row>
    <row r="96" spans="56:57" x14ac:dyDescent="0.25">
      <c r="BD96" s="1"/>
      <c r="BE96" s="1"/>
    </row>
    <row r="97" spans="56:57" x14ac:dyDescent="0.25">
      <c r="BD97" s="1"/>
      <c r="BE97" s="1"/>
    </row>
    <row r="98" spans="56:57" x14ac:dyDescent="0.25">
      <c r="BD98" s="1"/>
      <c r="BE98" s="1"/>
    </row>
    <row r="99" spans="56:57" x14ac:dyDescent="0.25">
      <c r="BD99" s="1"/>
      <c r="BE99" s="1"/>
    </row>
    <row r="100" spans="56:57" x14ac:dyDescent="0.25">
      <c r="BD100" s="1"/>
      <c r="BE100" s="1"/>
    </row>
    <row r="101" spans="56:57" x14ac:dyDescent="0.25">
      <c r="BD101" s="1"/>
      <c r="BE101" s="1"/>
    </row>
    <row r="102" spans="56:57" x14ac:dyDescent="0.25">
      <c r="BD102" s="1"/>
      <c r="BE102" s="1"/>
    </row>
    <row r="103" spans="56:57" x14ac:dyDescent="0.25">
      <c r="BD103" s="1"/>
      <c r="BE103" s="1"/>
    </row>
    <row r="104" spans="56:57" x14ac:dyDescent="0.25">
      <c r="BD104" s="1"/>
      <c r="BE104" s="1"/>
    </row>
    <row r="105" spans="56:57" x14ac:dyDescent="0.25">
      <c r="BD105" s="1"/>
      <c r="BE105" s="1"/>
    </row>
    <row r="106" spans="56:57" x14ac:dyDescent="0.25">
      <c r="BD106" s="1"/>
      <c r="BE106" s="1"/>
    </row>
  </sheetData>
  <mergeCells count="11">
    <mergeCell ref="G2:N2"/>
    <mergeCell ref="G3:N3"/>
    <mergeCell ref="O12:Q12"/>
    <mergeCell ref="O13:Q13"/>
    <mergeCell ref="AB5:AC5"/>
    <mergeCell ref="O6:Q6"/>
    <mergeCell ref="AB4:AC4"/>
    <mergeCell ref="E6:H8"/>
    <mergeCell ref="E9:H9"/>
    <mergeCell ref="R9:V9"/>
    <mergeCell ref="O4:P4"/>
  </mergeCells>
  <printOptions horizontalCentered="1" verticalCentered="1"/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49F0-C6FB-4B5A-B8E2-C5C44EF83944}">
  <dimension ref="A1:S81"/>
  <sheetViews>
    <sheetView topLeftCell="A7" workbookViewId="0">
      <selection activeCell="H27" sqref="H27"/>
    </sheetView>
  </sheetViews>
  <sheetFormatPr defaultRowHeight="15" x14ac:dyDescent="0.25"/>
  <cols>
    <col min="4" max="4" width="15.85546875" bestFit="1" customWidth="1"/>
    <col min="5" max="5" width="14.28515625" bestFit="1" customWidth="1"/>
    <col min="10" max="10" width="13" customWidth="1"/>
    <col min="12" max="12" width="11" customWidth="1"/>
    <col min="13" max="13" width="15.7109375" customWidth="1"/>
    <col min="17" max="17" width="14" customWidth="1"/>
  </cols>
  <sheetData>
    <row r="1" spans="1:1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66" x14ac:dyDescent="0.25">
      <c r="A7" s="1"/>
      <c r="B7" s="84" t="s">
        <v>51</v>
      </c>
      <c r="C7" s="85"/>
      <c r="D7" s="85" t="s">
        <v>52</v>
      </c>
      <c r="E7" s="85" t="s">
        <v>53</v>
      </c>
      <c r="F7" s="86" t="s">
        <v>54</v>
      </c>
      <c r="G7" s="8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71"/>
      <c r="B8" s="88" t="s">
        <v>55</v>
      </c>
      <c r="C8" s="89">
        <v>1</v>
      </c>
      <c r="D8" s="90">
        <v>1000</v>
      </c>
      <c r="E8" s="64">
        <f>C8*D8</f>
        <v>1000</v>
      </c>
      <c r="F8" s="91">
        <f>D8/E8</f>
        <v>1</v>
      </c>
      <c r="G8" s="92"/>
      <c r="H8" s="93" t="s">
        <v>54</v>
      </c>
      <c r="I8" s="94"/>
      <c r="J8" s="94"/>
      <c r="K8" s="94"/>
      <c r="L8" s="94"/>
      <c r="M8" s="87"/>
      <c r="N8" s="1"/>
      <c r="O8" s="1"/>
      <c r="P8" s="1"/>
      <c r="Q8" s="1"/>
      <c r="R8" s="1"/>
      <c r="S8" s="1"/>
    </row>
    <row r="9" spans="1:19" x14ac:dyDescent="0.25">
      <c r="A9" s="71"/>
      <c r="B9" s="88" t="s">
        <v>55</v>
      </c>
      <c r="C9" s="89">
        <v>50</v>
      </c>
      <c r="D9" s="90">
        <v>1000</v>
      </c>
      <c r="E9" s="64">
        <f t="shared" ref="E9:E16" si="0">C9*D9</f>
        <v>50000</v>
      </c>
      <c r="F9" s="91">
        <f t="shared" ref="F9:F16" si="1">D9/E9</f>
        <v>0.02</v>
      </c>
      <c r="G9" s="95"/>
      <c r="H9" s="96" t="s">
        <v>56</v>
      </c>
      <c r="I9" s="1"/>
      <c r="J9" s="1"/>
      <c r="K9" s="1"/>
      <c r="L9" s="1"/>
      <c r="M9" s="95"/>
      <c r="N9" s="1"/>
      <c r="O9" s="1" t="s">
        <v>57</v>
      </c>
      <c r="P9" s="1"/>
      <c r="Q9" s="1"/>
      <c r="R9" s="1"/>
      <c r="S9" s="1"/>
    </row>
    <row r="10" spans="1:19" x14ac:dyDescent="0.25">
      <c r="A10" s="71"/>
      <c r="B10" s="88" t="s">
        <v>55</v>
      </c>
      <c r="C10" s="89">
        <v>100</v>
      </c>
      <c r="D10" s="90">
        <v>1000</v>
      </c>
      <c r="E10" s="64">
        <f t="shared" si="0"/>
        <v>100000</v>
      </c>
      <c r="F10" s="91">
        <f t="shared" si="1"/>
        <v>0.01</v>
      </c>
      <c r="G10" s="95"/>
      <c r="H10" s="96" t="s">
        <v>58</v>
      </c>
      <c r="I10" s="1"/>
      <c r="J10" s="1"/>
      <c r="K10" s="1"/>
      <c r="L10" s="1"/>
      <c r="M10" s="95"/>
      <c r="N10" s="1"/>
      <c r="O10" s="1" t="s">
        <v>59</v>
      </c>
      <c r="P10" s="1"/>
      <c r="Q10" s="1"/>
      <c r="R10" s="1"/>
      <c r="S10" s="1"/>
    </row>
    <row r="11" spans="1:19" x14ac:dyDescent="0.25">
      <c r="A11" s="71"/>
      <c r="B11" s="88" t="s">
        <v>55</v>
      </c>
      <c r="C11" s="89">
        <v>200</v>
      </c>
      <c r="D11" s="90">
        <v>1000</v>
      </c>
      <c r="E11" s="64">
        <f t="shared" si="0"/>
        <v>200000</v>
      </c>
      <c r="F11" s="91">
        <f t="shared" si="1"/>
        <v>5.0000000000000001E-3</v>
      </c>
      <c r="G11" s="95"/>
      <c r="H11" s="96" t="s">
        <v>60</v>
      </c>
      <c r="I11" s="1" t="s">
        <v>61</v>
      </c>
      <c r="J11" s="1" t="s">
        <v>62</v>
      </c>
      <c r="K11" s="97" t="s">
        <v>63</v>
      </c>
      <c r="L11" s="97"/>
      <c r="M11" s="95" t="s">
        <v>64</v>
      </c>
      <c r="N11" s="1"/>
      <c r="O11" s="1" t="s">
        <v>65</v>
      </c>
      <c r="P11" s="1"/>
      <c r="Q11" s="1"/>
      <c r="R11" s="1"/>
      <c r="S11" s="1"/>
    </row>
    <row r="12" spans="1:19" x14ac:dyDescent="0.25">
      <c r="A12" s="71"/>
      <c r="B12" s="88" t="s">
        <v>55</v>
      </c>
      <c r="C12" s="89">
        <v>300</v>
      </c>
      <c r="D12" s="98">
        <v>1000</v>
      </c>
      <c r="E12" s="64">
        <f t="shared" si="0"/>
        <v>300000</v>
      </c>
      <c r="F12" s="91">
        <f t="shared" si="1"/>
        <v>3.3333333333333335E-3</v>
      </c>
      <c r="G12" s="95"/>
      <c r="H12" s="96"/>
      <c r="I12" s="1">
        <v>1</v>
      </c>
      <c r="J12" s="1">
        <v>100000</v>
      </c>
      <c r="K12" s="189">
        <v>1.4604999999999999</v>
      </c>
      <c r="L12" s="189"/>
      <c r="M12" s="99">
        <v>0.01</v>
      </c>
      <c r="N12" s="1"/>
      <c r="O12" s="1"/>
      <c r="P12" s="1"/>
      <c r="Q12" s="1"/>
      <c r="R12" s="1"/>
      <c r="S12" s="1"/>
    </row>
    <row r="13" spans="1:19" x14ac:dyDescent="0.25">
      <c r="A13" s="71"/>
      <c r="B13" s="88" t="s">
        <v>55</v>
      </c>
      <c r="C13" s="89">
        <v>400</v>
      </c>
      <c r="D13" s="90">
        <v>1000</v>
      </c>
      <c r="E13" s="64">
        <f t="shared" si="0"/>
        <v>400000</v>
      </c>
      <c r="F13" s="91">
        <f t="shared" si="1"/>
        <v>2.5000000000000001E-3</v>
      </c>
      <c r="G13" s="95"/>
      <c r="H13" s="96"/>
      <c r="I13" s="1"/>
      <c r="J13" s="1"/>
      <c r="K13" s="1"/>
      <c r="L13" s="1"/>
      <c r="M13" s="95"/>
      <c r="N13" s="1"/>
      <c r="O13" s="1" t="s">
        <v>66</v>
      </c>
      <c r="P13" s="1"/>
      <c r="Q13" s="1"/>
      <c r="R13" s="1"/>
      <c r="S13" s="1"/>
    </row>
    <row r="14" spans="1:19" x14ac:dyDescent="0.25">
      <c r="A14" s="71"/>
      <c r="B14" s="88" t="s">
        <v>55</v>
      </c>
      <c r="C14" s="89">
        <v>500</v>
      </c>
      <c r="D14" s="90">
        <v>1000</v>
      </c>
      <c r="E14" s="64">
        <f t="shared" si="0"/>
        <v>500000</v>
      </c>
      <c r="F14" s="91">
        <f t="shared" si="1"/>
        <v>2E-3</v>
      </c>
      <c r="G14" s="95"/>
      <c r="H14" s="96"/>
      <c r="I14" s="1" t="s">
        <v>67</v>
      </c>
      <c r="J14" s="190">
        <f>I12*J12*K12*M12</f>
        <v>1460.5</v>
      </c>
      <c r="K14" s="191"/>
      <c r="L14" s="1"/>
      <c r="M14" s="95"/>
      <c r="N14" s="1"/>
      <c r="O14" s="1"/>
      <c r="P14" s="1"/>
      <c r="Q14" s="1"/>
      <c r="R14" s="1"/>
      <c r="S14" s="1"/>
    </row>
    <row r="15" spans="1:19" x14ac:dyDescent="0.25">
      <c r="A15" s="71"/>
      <c r="B15" s="100" t="s">
        <v>55</v>
      </c>
      <c r="C15" s="101">
        <v>1000</v>
      </c>
      <c r="D15" s="102">
        <v>1000</v>
      </c>
      <c r="E15" s="103">
        <f t="shared" si="0"/>
        <v>1000000</v>
      </c>
      <c r="F15" s="104">
        <f t="shared" si="1"/>
        <v>1E-3</v>
      </c>
      <c r="G15" s="105"/>
      <c r="H15" s="106"/>
      <c r="I15" s="107"/>
      <c r="J15" s="107"/>
      <c r="K15" s="107"/>
      <c r="L15" s="107"/>
      <c r="M15" s="105"/>
      <c r="N15" s="1"/>
      <c r="O15" s="1"/>
      <c r="P15" s="1"/>
      <c r="Q15" s="1"/>
      <c r="R15" s="1"/>
      <c r="S15" s="1"/>
    </row>
    <row r="16" spans="1:19" x14ac:dyDescent="0.25">
      <c r="A16" s="71"/>
      <c r="B16" s="100" t="s">
        <v>55</v>
      </c>
      <c r="C16" s="5">
        <v>2</v>
      </c>
      <c r="D16" s="102">
        <v>1000</v>
      </c>
      <c r="E16" s="103">
        <f t="shared" si="0"/>
        <v>2000</v>
      </c>
      <c r="F16" s="104">
        <f t="shared" si="1"/>
        <v>0.5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71"/>
      <c r="N17" s="1"/>
      <c r="O17" s="1"/>
      <c r="P17" s="1"/>
      <c r="Q17" s="1"/>
      <c r="R17" s="1"/>
      <c r="S17" s="1"/>
    </row>
    <row r="18" spans="1:19" x14ac:dyDescent="0.25">
      <c r="A18" s="71"/>
      <c r="B18" s="108"/>
      <c r="C18" s="192" t="s">
        <v>68</v>
      </c>
      <c r="D18" s="192"/>
      <c r="E18" s="109"/>
      <c r="F18" s="110"/>
      <c r="G18" s="111" t="s">
        <v>69</v>
      </c>
      <c r="H18" s="111"/>
      <c r="I18" s="112"/>
      <c r="J18" s="110"/>
      <c r="K18" s="111" t="s">
        <v>70</v>
      </c>
      <c r="L18" s="111"/>
      <c r="M18" s="112"/>
      <c r="N18" s="108"/>
      <c r="O18" s="111" t="s">
        <v>71</v>
      </c>
      <c r="P18" s="111"/>
      <c r="Q18" s="112"/>
      <c r="R18" s="69"/>
      <c r="S18" s="69"/>
    </row>
    <row r="19" spans="1:19" x14ac:dyDescent="0.25">
      <c r="A19" s="71"/>
      <c r="B19" s="113"/>
      <c r="C19" s="193" t="s">
        <v>72</v>
      </c>
      <c r="D19" s="193"/>
      <c r="E19" s="1"/>
      <c r="F19" s="114"/>
      <c r="G19" s="193" t="s">
        <v>73</v>
      </c>
      <c r="H19" s="193"/>
      <c r="I19" s="95"/>
      <c r="J19" s="115"/>
      <c r="K19" s="193" t="s">
        <v>74</v>
      </c>
      <c r="L19" s="193"/>
      <c r="M19" s="95"/>
      <c r="N19" s="113"/>
      <c r="O19" s="193" t="s">
        <v>75</v>
      </c>
      <c r="P19" s="193"/>
      <c r="Q19" s="95"/>
      <c r="R19" s="1"/>
      <c r="S19" s="1"/>
    </row>
    <row r="20" spans="1:19" x14ac:dyDescent="0.25">
      <c r="A20" s="71"/>
      <c r="B20" s="96"/>
      <c r="C20" s="193"/>
      <c r="D20" s="193"/>
      <c r="E20" s="1"/>
      <c r="F20" s="96"/>
      <c r="G20" s="193"/>
      <c r="H20" s="193"/>
      <c r="I20" s="95"/>
      <c r="J20" s="96"/>
      <c r="K20" s="193"/>
      <c r="L20" s="193"/>
      <c r="M20" s="95"/>
      <c r="N20" s="96"/>
      <c r="O20" s="193"/>
      <c r="P20" s="193"/>
      <c r="Q20" s="95"/>
      <c r="R20" s="1"/>
      <c r="S20" s="1"/>
    </row>
    <row r="21" spans="1:19" x14ac:dyDescent="0.25">
      <c r="A21" s="71"/>
      <c r="B21" s="96"/>
      <c r="C21" s="193"/>
      <c r="D21" s="193"/>
      <c r="E21" s="1"/>
      <c r="F21" s="96"/>
      <c r="G21" s="193"/>
      <c r="H21" s="193"/>
      <c r="I21" s="95"/>
      <c r="J21" s="96"/>
      <c r="K21" s="1"/>
      <c r="L21" s="1"/>
      <c r="M21" s="95"/>
      <c r="N21" s="96"/>
      <c r="O21" s="1"/>
      <c r="P21" s="1"/>
      <c r="Q21" s="95"/>
      <c r="R21" s="1"/>
      <c r="S21" s="1"/>
    </row>
    <row r="22" spans="1:19" x14ac:dyDescent="0.25">
      <c r="A22" s="71"/>
      <c r="B22" s="96"/>
      <c r="C22" s="1"/>
      <c r="D22" s="116" t="s">
        <v>76</v>
      </c>
      <c r="E22" s="1" t="s">
        <v>77</v>
      </c>
      <c r="F22" s="96"/>
      <c r="G22" s="1"/>
      <c r="H22" s="116" t="s">
        <v>76</v>
      </c>
      <c r="I22" s="95" t="s">
        <v>77</v>
      </c>
      <c r="J22" s="96"/>
      <c r="K22" s="1"/>
      <c r="L22" s="1"/>
      <c r="M22" s="95"/>
      <c r="N22" s="96"/>
      <c r="O22" s="1"/>
      <c r="P22" s="1"/>
      <c r="Q22" s="95"/>
      <c r="R22" s="1"/>
      <c r="S22" s="1"/>
    </row>
    <row r="23" spans="1:19" x14ac:dyDescent="0.25">
      <c r="A23" s="71"/>
      <c r="B23" s="113">
        <v>1</v>
      </c>
      <c r="C23" t="s">
        <v>78</v>
      </c>
      <c r="D23" s="116" t="s">
        <v>50</v>
      </c>
      <c r="E23" s="1">
        <v>1.0000000000000001E-5</v>
      </c>
      <c r="F23" s="113">
        <v>1</v>
      </c>
      <c r="G23" t="s">
        <v>79</v>
      </c>
      <c r="H23" s="116" t="s">
        <v>80</v>
      </c>
      <c r="I23" s="95">
        <v>1.0000000000000001E-5</v>
      </c>
      <c r="J23" s="96"/>
      <c r="K23" s="117"/>
      <c r="L23" s="116" t="s">
        <v>76</v>
      </c>
      <c r="M23" s="95" t="s">
        <v>77</v>
      </c>
      <c r="N23" s="96"/>
      <c r="O23" s="117"/>
      <c r="P23" s="116" t="s">
        <v>76</v>
      </c>
      <c r="Q23" s="95" t="s">
        <v>77</v>
      </c>
      <c r="R23" s="1"/>
      <c r="S23" s="1"/>
    </row>
    <row r="24" spans="1:19" x14ac:dyDescent="0.25">
      <c r="A24" s="71"/>
      <c r="B24" s="113">
        <v>2</v>
      </c>
      <c r="C24" t="s">
        <v>81</v>
      </c>
      <c r="D24" s="116" t="s">
        <v>82</v>
      </c>
      <c r="E24" s="1">
        <v>1.0000000000000001E-5</v>
      </c>
      <c r="F24" s="113">
        <v>2</v>
      </c>
      <c r="G24" t="s">
        <v>83</v>
      </c>
      <c r="H24" s="116" t="s">
        <v>84</v>
      </c>
      <c r="I24" s="95">
        <v>1E-3</v>
      </c>
      <c r="J24" s="113">
        <v>1</v>
      </c>
      <c r="K24" s="118" t="s">
        <v>85</v>
      </c>
      <c r="L24" s="116" t="s">
        <v>85</v>
      </c>
      <c r="M24" s="95">
        <v>1.0000000000000001E-5</v>
      </c>
      <c r="N24" s="113">
        <v>1</v>
      </c>
      <c r="O24" s="118" t="s">
        <v>7</v>
      </c>
      <c r="P24" s="116" t="s">
        <v>7</v>
      </c>
      <c r="Q24" s="95">
        <v>1.0000000000000001E-5</v>
      </c>
      <c r="R24" s="1"/>
      <c r="S24" s="1"/>
    </row>
    <row r="25" spans="1:19" x14ac:dyDescent="0.25">
      <c r="A25" s="71"/>
      <c r="B25" s="113">
        <v>3</v>
      </c>
      <c r="C25" t="s">
        <v>86</v>
      </c>
      <c r="D25" s="116" t="s">
        <v>87</v>
      </c>
      <c r="E25" s="1">
        <v>1.0000000000000001E-5</v>
      </c>
      <c r="F25" s="113">
        <v>3</v>
      </c>
      <c r="G25" t="s">
        <v>88</v>
      </c>
      <c r="H25" s="116" t="s">
        <v>85</v>
      </c>
      <c r="I25" s="95">
        <v>1.0000000000000001E-5</v>
      </c>
      <c r="J25" s="113">
        <v>2</v>
      </c>
      <c r="K25" s="118" t="s">
        <v>80</v>
      </c>
      <c r="L25" s="116" t="s">
        <v>80</v>
      </c>
      <c r="M25" s="95">
        <v>1.0000000000000001E-5</v>
      </c>
      <c r="N25" s="113">
        <v>2</v>
      </c>
      <c r="O25" s="118" t="s">
        <v>50</v>
      </c>
      <c r="P25" s="116" t="s">
        <v>50</v>
      </c>
      <c r="Q25" s="95">
        <v>1.0000000000000001E-5</v>
      </c>
      <c r="R25" s="1"/>
      <c r="S25" s="1"/>
    </row>
    <row r="26" spans="1:19" x14ac:dyDescent="0.25">
      <c r="A26" s="71"/>
      <c r="B26" s="113">
        <v>4</v>
      </c>
      <c r="C26" s="31" t="s">
        <v>89</v>
      </c>
      <c r="D26" s="116" t="s">
        <v>82</v>
      </c>
      <c r="E26" s="1">
        <v>1.0000000000000001E-5</v>
      </c>
      <c r="F26" s="113">
        <v>4</v>
      </c>
      <c r="G26" s="31" t="s">
        <v>90</v>
      </c>
      <c r="H26" s="116" t="s">
        <v>80</v>
      </c>
      <c r="I26" s="95">
        <v>1.0000000000000001E-5</v>
      </c>
      <c r="J26" s="113">
        <v>3</v>
      </c>
      <c r="K26" s="118" t="s">
        <v>84</v>
      </c>
      <c r="L26" s="116" t="s">
        <v>84</v>
      </c>
      <c r="M26" s="95">
        <v>1E-3</v>
      </c>
      <c r="N26" s="113">
        <v>3</v>
      </c>
      <c r="O26" s="118" t="s">
        <v>82</v>
      </c>
      <c r="P26" s="116" t="s">
        <v>82</v>
      </c>
      <c r="Q26" s="95">
        <v>1.0000000000000001E-5</v>
      </c>
      <c r="R26" s="1"/>
      <c r="S26" s="1"/>
    </row>
    <row r="27" spans="1:19" x14ac:dyDescent="0.25">
      <c r="A27" s="71"/>
      <c r="B27" s="113">
        <v>5</v>
      </c>
      <c r="C27" s="31" t="s">
        <v>91</v>
      </c>
      <c r="D27" s="116" t="s">
        <v>87</v>
      </c>
      <c r="E27" s="1">
        <v>1.0000000000000001E-5</v>
      </c>
      <c r="F27" s="113">
        <v>5</v>
      </c>
      <c r="G27" s="31" t="s">
        <v>92</v>
      </c>
      <c r="H27" s="116" t="s">
        <v>84</v>
      </c>
      <c r="I27" s="95">
        <v>1E-3</v>
      </c>
      <c r="J27" s="113"/>
      <c r="M27" s="95"/>
      <c r="N27" s="113">
        <v>4</v>
      </c>
      <c r="O27" s="118" t="s">
        <v>87</v>
      </c>
      <c r="P27" s="116" t="s">
        <v>87</v>
      </c>
      <c r="Q27" s="95">
        <v>1.0000000000000001E-5</v>
      </c>
      <c r="R27" s="1"/>
      <c r="S27" s="1"/>
    </row>
    <row r="28" spans="1:19" x14ac:dyDescent="0.25">
      <c r="A28" s="71"/>
      <c r="B28" s="113">
        <v>6</v>
      </c>
      <c r="C28" t="s">
        <v>93</v>
      </c>
      <c r="D28" s="116" t="s">
        <v>87</v>
      </c>
      <c r="E28" s="1">
        <v>1.0000000000000001E-5</v>
      </c>
      <c r="F28" s="113">
        <v>6</v>
      </c>
      <c r="G28" t="s">
        <v>94</v>
      </c>
      <c r="H28" s="116" t="s">
        <v>85</v>
      </c>
      <c r="I28" s="95">
        <v>1.0000000000000001E-5</v>
      </c>
      <c r="J28" s="113"/>
      <c r="L28" s="1"/>
      <c r="M28" s="95"/>
      <c r="N28" s="96"/>
      <c r="P28" s="1"/>
      <c r="Q28" s="95"/>
      <c r="R28" s="1"/>
      <c r="S28" s="1"/>
    </row>
    <row r="29" spans="1:19" x14ac:dyDescent="0.25">
      <c r="A29" s="71"/>
      <c r="B29" s="113"/>
      <c r="E29" s="1"/>
      <c r="F29" s="113">
        <v>7</v>
      </c>
      <c r="G29" t="s">
        <v>95</v>
      </c>
      <c r="H29" s="116" t="s">
        <v>80</v>
      </c>
      <c r="I29" s="95">
        <v>1.0000000000000001E-5</v>
      </c>
      <c r="J29" s="113"/>
      <c r="L29" s="116" t="s">
        <v>62</v>
      </c>
      <c r="M29" s="95">
        <v>100000</v>
      </c>
      <c r="N29" s="96"/>
      <c r="P29" s="116" t="s">
        <v>62</v>
      </c>
      <c r="Q29" s="95">
        <v>100000</v>
      </c>
      <c r="R29" s="1"/>
      <c r="S29" s="1"/>
    </row>
    <row r="30" spans="1:19" x14ac:dyDescent="0.25">
      <c r="A30" s="71"/>
      <c r="B30" s="113"/>
      <c r="D30" s="116" t="s">
        <v>62</v>
      </c>
      <c r="E30" s="1">
        <v>100000</v>
      </c>
      <c r="F30" s="113">
        <v>8</v>
      </c>
      <c r="G30" t="s">
        <v>96</v>
      </c>
      <c r="H30" s="116" t="s">
        <v>84</v>
      </c>
      <c r="I30" s="95">
        <v>1E-3</v>
      </c>
      <c r="J30" s="113"/>
      <c r="M30" s="119"/>
      <c r="N30" s="113"/>
      <c r="O30" s="1"/>
      <c r="P30" s="1"/>
      <c r="Q30" s="95"/>
      <c r="R30" s="1"/>
      <c r="S30" s="1"/>
    </row>
    <row r="31" spans="1:19" x14ac:dyDescent="0.25">
      <c r="A31" s="71"/>
      <c r="B31" s="113"/>
      <c r="D31" s="1"/>
      <c r="E31" s="1"/>
      <c r="F31" s="113">
        <v>9</v>
      </c>
      <c r="G31" t="s">
        <v>97</v>
      </c>
      <c r="H31" s="116" t="s">
        <v>85</v>
      </c>
      <c r="I31" s="95">
        <v>1.0000000000000001E-5</v>
      </c>
      <c r="J31" s="96"/>
      <c r="K31" s="193" t="s">
        <v>98</v>
      </c>
      <c r="L31" s="193"/>
      <c r="M31" s="198"/>
      <c r="N31" s="96"/>
      <c r="O31" s="201" t="s">
        <v>99</v>
      </c>
      <c r="P31" s="201"/>
      <c r="Q31" s="202"/>
      <c r="R31" s="1"/>
      <c r="S31" s="1"/>
    </row>
    <row r="32" spans="1:19" x14ac:dyDescent="0.25">
      <c r="A32" s="71"/>
      <c r="B32" s="96"/>
      <c r="C32" s="193" t="s">
        <v>100</v>
      </c>
      <c r="D32" s="193"/>
      <c r="E32" s="193"/>
      <c r="F32" s="113">
        <v>10</v>
      </c>
      <c r="G32" t="s">
        <v>101</v>
      </c>
      <c r="H32" s="116" t="s">
        <v>80</v>
      </c>
      <c r="I32" s="95">
        <v>1.0000000000000001E-5</v>
      </c>
      <c r="J32" s="120"/>
      <c r="K32" s="199"/>
      <c r="L32" s="199"/>
      <c r="M32" s="200"/>
      <c r="N32" s="120"/>
      <c r="O32" s="203"/>
      <c r="P32" s="203"/>
      <c r="Q32" s="204"/>
      <c r="R32" s="1"/>
      <c r="S32" s="1"/>
    </row>
    <row r="33" spans="1:19" x14ac:dyDescent="0.25">
      <c r="A33" s="71"/>
      <c r="B33" s="113"/>
      <c r="C33" s="193"/>
      <c r="D33" s="193"/>
      <c r="E33" s="193"/>
      <c r="F33" s="113">
        <v>11</v>
      </c>
      <c r="G33" t="s">
        <v>102</v>
      </c>
      <c r="H33" s="116" t="s">
        <v>84</v>
      </c>
      <c r="I33" s="95">
        <v>1E-3</v>
      </c>
      <c r="O33" s="1"/>
      <c r="P33" s="1"/>
      <c r="Q33" s="1"/>
      <c r="R33" s="1"/>
      <c r="S33" s="1"/>
    </row>
    <row r="34" spans="1:19" x14ac:dyDescent="0.25">
      <c r="A34" s="71"/>
      <c r="B34" s="120"/>
      <c r="C34" s="121"/>
      <c r="D34" s="121"/>
      <c r="E34" s="107"/>
      <c r="F34" s="113">
        <v>12</v>
      </c>
      <c r="G34" t="s">
        <v>103</v>
      </c>
      <c r="H34" s="116" t="s">
        <v>85</v>
      </c>
      <c r="I34" s="95">
        <v>1.0000000000000001E-5</v>
      </c>
      <c r="O34" s="1"/>
      <c r="P34" s="1"/>
      <c r="Q34" s="1"/>
      <c r="R34" s="1"/>
      <c r="S34" s="1"/>
    </row>
    <row r="35" spans="1:19" x14ac:dyDescent="0.25">
      <c r="A35" s="71"/>
      <c r="E35" s="1"/>
      <c r="F35" s="113">
        <v>13</v>
      </c>
      <c r="G35" t="s">
        <v>104</v>
      </c>
      <c r="H35" s="116" t="s">
        <v>80</v>
      </c>
      <c r="I35" s="95">
        <v>1.0000000000000001E-5</v>
      </c>
      <c r="O35" s="1"/>
      <c r="P35" s="1"/>
      <c r="Q35" s="1"/>
      <c r="R35" s="1"/>
      <c r="S35" s="1"/>
    </row>
    <row r="36" spans="1:19" x14ac:dyDescent="0.25">
      <c r="A36" s="71"/>
      <c r="E36" s="1"/>
      <c r="F36" s="113">
        <v>14</v>
      </c>
      <c r="G36" t="s">
        <v>105</v>
      </c>
      <c r="H36" s="116" t="s">
        <v>84</v>
      </c>
      <c r="I36" s="95">
        <v>1E-3</v>
      </c>
      <c r="O36" s="1"/>
      <c r="P36" s="1"/>
      <c r="Q36" s="1"/>
      <c r="R36" s="1"/>
      <c r="S36" s="1"/>
    </row>
    <row r="37" spans="1:19" x14ac:dyDescent="0.25">
      <c r="A37" s="71"/>
      <c r="E37" s="1"/>
      <c r="F37" s="113">
        <v>15</v>
      </c>
      <c r="G37" t="s">
        <v>106</v>
      </c>
      <c r="H37" s="116" t="s">
        <v>84</v>
      </c>
      <c r="I37" s="95">
        <v>1E-3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71"/>
      <c r="B38" s="1"/>
      <c r="C38" s="1"/>
      <c r="D38" s="1"/>
      <c r="E38" s="1"/>
      <c r="F38" s="96"/>
      <c r="G38" s="1"/>
      <c r="H38" s="1"/>
      <c r="I38" s="95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71"/>
      <c r="B39" s="1"/>
      <c r="C39" s="1"/>
      <c r="D39" s="1"/>
      <c r="E39" s="1"/>
      <c r="F39" s="96"/>
      <c r="G39" s="1"/>
      <c r="H39" s="116" t="s">
        <v>62</v>
      </c>
      <c r="I39" s="95">
        <v>100000</v>
      </c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71"/>
      <c r="B40" s="1"/>
      <c r="C40" s="1"/>
      <c r="D40" s="1"/>
      <c r="E40" s="1"/>
      <c r="F40" s="96"/>
      <c r="G40" s="1"/>
      <c r="H40" s="1"/>
      <c r="I40" s="95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71"/>
      <c r="B41" s="1"/>
      <c r="C41" s="1"/>
      <c r="D41" s="1"/>
      <c r="E41" s="1"/>
      <c r="F41" s="96"/>
      <c r="G41" s="193" t="s">
        <v>107</v>
      </c>
      <c r="H41" s="193"/>
      <c r="I41" s="198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71"/>
      <c r="B42" s="1"/>
      <c r="C42" s="1"/>
      <c r="D42" s="122"/>
      <c r="E42" s="122"/>
      <c r="F42" s="123"/>
      <c r="G42" s="199"/>
      <c r="H42" s="199"/>
      <c r="I42" s="200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71"/>
      <c r="B43" s="1"/>
      <c r="C43" s="1"/>
      <c r="D43" s="122"/>
      <c r="E43" s="122"/>
      <c r="F43" s="122"/>
      <c r="G43" s="122"/>
      <c r="H43" s="1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71"/>
      <c r="B44" s="1"/>
      <c r="C44" s="1"/>
      <c r="D44" s="1"/>
      <c r="E44" s="1"/>
      <c r="F44" s="122"/>
      <c r="G44" s="122"/>
      <c r="H44" s="1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24"/>
      <c r="C45" s="94" t="s">
        <v>108</v>
      </c>
      <c r="D45" s="125"/>
      <c r="E45" s="125"/>
      <c r="F45" s="124"/>
      <c r="G45" s="94" t="s">
        <v>108</v>
      </c>
      <c r="H45" s="125"/>
      <c r="I45" s="87"/>
      <c r="J45" s="124"/>
      <c r="K45" s="94" t="s">
        <v>108</v>
      </c>
      <c r="L45" s="94"/>
      <c r="M45" s="124"/>
      <c r="N45" s="94" t="s">
        <v>108</v>
      </c>
      <c r="O45" s="87"/>
      <c r="P45" s="1"/>
      <c r="Q45" s="1"/>
      <c r="R45" s="1"/>
      <c r="S45" s="1"/>
    </row>
    <row r="46" spans="1:19" x14ac:dyDescent="0.25">
      <c r="A46" s="1"/>
      <c r="B46" s="96"/>
      <c r="C46" s="6" t="s">
        <v>109</v>
      </c>
      <c r="D46" s="1"/>
      <c r="E46" s="1"/>
      <c r="F46" s="96"/>
      <c r="G46" s="6" t="s">
        <v>109</v>
      </c>
      <c r="H46" s="1"/>
      <c r="I46" s="95"/>
      <c r="J46" s="96"/>
      <c r="K46" s="6" t="s">
        <v>109</v>
      </c>
      <c r="L46" s="1"/>
      <c r="M46" s="96"/>
      <c r="N46" s="6" t="s">
        <v>109</v>
      </c>
      <c r="O46" s="95"/>
      <c r="P46" s="1"/>
      <c r="Q46" s="1"/>
      <c r="R46" s="1"/>
      <c r="S46" s="1"/>
    </row>
    <row r="47" spans="1:19" x14ac:dyDescent="0.25">
      <c r="A47" s="1"/>
      <c r="B47" s="96"/>
      <c r="C47" s="1"/>
      <c r="D47" s="1"/>
      <c r="E47" s="1"/>
      <c r="F47" s="96"/>
      <c r="G47" s="1"/>
      <c r="H47" s="1"/>
      <c r="I47" s="95"/>
      <c r="J47" s="96"/>
      <c r="K47" s="1"/>
      <c r="L47" s="1"/>
      <c r="M47" s="96"/>
      <c r="N47" s="1"/>
      <c r="O47" s="95"/>
      <c r="P47" s="1"/>
      <c r="Q47" s="1"/>
      <c r="R47" s="1"/>
      <c r="S47" s="1"/>
    </row>
    <row r="48" spans="1:19" x14ac:dyDescent="0.25">
      <c r="A48" s="1"/>
      <c r="B48" s="96"/>
      <c r="C48" s="1"/>
      <c r="D48" s="126" t="s">
        <v>110</v>
      </c>
      <c r="E48" s="1"/>
      <c r="F48" s="96"/>
      <c r="G48" s="1"/>
      <c r="H48" s="126" t="s">
        <v>110</v>
      </c>
      <c r="I48" s="95"/>
      <c r="J48" s="96"/>
      <c r="K48" s="1"/>
      <c r="L48" s="126" t="s">
        <v>110</v>
      </c>
      <c r="M48" s="96"/>
      <c r="N48" s="1"/>
      <c r="O48" s="127" t="s">
        <v>110</v>
      </c>
      <c r="P48" s="1"/>
      <c r="Q48" s="1"/>
      <c r="R48" s="1"/>
      <c r="S48" s="1"/>
    </row>
    <row r="49" spans="1:19" x14ac:dyDescent="0.25">
      <c r="A49" s="1"/>
      <c r="B49" s="113">
        <v>1</v>
      </c>
      <c r="C49" t="s">
        <v>78</v>
      </c>
      <c r="D49" s="126" t="s">
        <v>7</v>
      </c>
      <c r="E49" s="1"/>
      <c r="F49" s="113">
        <v>1</v>
      </c>
      <c r="G49" t="s">
        <v>79</v>
      </c>
      <c r="H49" s="126" t="s">
        <v>7</v>
      </c>
      <c r="I49" s="95"/>
      <c r="J49" s="113">
        <v>1</v>
      </c>
      <c r="K49" s="118" t="s">
        <v>85</v>
      </c>
      <c r="L49" s="128" t="s">
        <v>111</v>
      </c>
      <c r="M49" s="113">
        <v>1</v>
      </c>
      <c r="N49" s="118" t="s">
        <v>7</v>
      </c>
      <c r="O49" s="129" t="s">
        <v>7</v>
      </c>
      <c r="P49" s="1"/>
      <c r="Q49" s="1"/>
      <c r="R49" s="1"/>
      <c r="S49" s="1"/>
    </row>
    <row r="50" spans="1:19" x14ac:dyDescent="0.25">
      <c r="A50" s="1"/>
      <c r="B50" s="113">
        <v>2</v>
      </c>
      <c r="C50" t="s">
        <v>81</v>
      </c>
      <c r="D50" s="126" t="s">
        <v>7</v>
      </c>
      <c r="E50" s="1"/>
      <c r="F50" s="113">
        <v>2</v>
      </c>
      <c r="G50" t="s">
        <v>83</v>
      </c>
      <c r="H50" s="126" t="s">
        <v>7</v>
      </c>
      <c r="I50" s="95"/>
      <c r="J50" s="113">
        <v>2</v>
      </c>
      <c r="K50" s="118" t="s">
        <v>80</v>
      </c>
      <c r="L50" s="128" t="s">
        <v>111</v>
      </c>
      <c r="M50" s="113">
        <v>2</v>
      </c>
      <c r="N50" s="118" t="s">
        <v>50</v>
      </c>
      <c r="O50" s="129" t="s">
        <v>50</v>
      </c>
      <c r="P50" s="1"/>
      <c r="Q50" s="1"/>
      <c r="R50" s="1"/>
      <c r="S50" s="1"/>
    </row>
    <row r="51" spans="1:19" x14ac:dyDescent="0.25">
      <c r="A51" s="1"/>
      <c r="B51" s="113">
        <v>3</v>
      </c>
      <c r="C51" t="s">
        <v>86</v>
      </c>
      <c r="D51" s="126" t="s">
        <v>7</v>
      </c>
      <c r="E51" s="1"/>
      <c r="F51" s="113">
        <v>3</v>
      </c>
      <c r="G51" t="s">
        <v>88</v>
      </c>
      <c r="H51" s="126" t="s">
        <v>7</v>
      </c>
      <c r="I51" s="95"/>
      <c r="J51" s="113">
        <v>3</v>
      </c>
      <c r="K51" s="118" t="s">
        <v>84</v>
      </c>
      <c r="L51" s="128" t="s">
        <v>111</v>
      </c>
      <c r="M51" s="113">
        <v>3</v>
      </c>
      <c r="N51" s="118" t="s">
        <v>82</v>
      </c>
      <c r="O51" s="129" t="s">
        <v>82</v>
      </c>
      <c r="P51" s="1"/>
      <c r="Q51" s="1"/>
      <c r="R51" s="1"/>
      <c r="S51" s="1"/>
    </row>
    <row r="52" spans="1:19" x14ac:dyDescent="0.25">
      <c r="A52" s="1"/>
      <c r="B52" s="113">
        <v>4</v>
      </c>
      <c r="C52" s="31" t="s">
        <v>89</v>
      </c>
      <c r="D52" s="126" t="s">
        <v>50</v>
      </c>
      <c r="E52" s="1"/>
      <c r="F52" s="113">
        <v>4</v>
      </c>
      <c r="G52" s="31" t="s">
        <v>90</v>
      </c>
      <c r="H52" s="126" t="s">
        <v>50</v>
      </c>
      <c r="I52" s="95"/>
      <c r="J52" s="96"/>
      <c r="K52" s="1"/>
      <c r="L52" s="1"/>
      <c r="M52" s="113">
        <v>4</v>
      </c>
      <c r="N52" s="118" t="s">
        <v>87</v>
      </c>
      <c r="O52" s="129" t="s">
        <v>87</v>
      </c>
      <c r="P52" s="1"/>
      <c r="Q52" s="1"/>
      <c r="R52" s="1"/>
      <c r="S52" s="1"/>
    </row>
    <row r="53" spans="1:19" x14ac:dyDescent="0.25">
      <c r="A53" s="1"/>
      <c r="B53" s="113">
        <v>5</v>
      </c>
      <c r="C53" s="31" t="s">
        <v>91</v>
      </c>
      <c r="D53" s="126" t="s">
        <v>50</v>
      </c>
      <c r="E53" s="1"/>
      <c r="F53" s="113">
        <v>5</v>
      </c>
      <c r="G53" s="31" t="s">
        <v>92</v>
      </c>
      <c r="H53" s="126" t="s">
        <v>50</v>
      </c>
      <c r="I53" s="95"/>
      <c r="J53" s="96"/>
      <c r="K53" s="1"/>
      <c r="L53" s="1"/>
      <c r="M53" s="96"/>
      <c r="N53" s="1"/>
      <c r="O53" s="95"/>
      <c r="P53" s="1"/>
      <c r="Q53" s="1"/>
      <c r="R53" s="1"/>
      <c r="S53" s="1"/>
    </row>
    <row r="54" spans="1:19" x14ac:dyDescent="0.25">
      <c r="A54" s="1"/>
      <c r="B54" s="113">
        <v>6</v>
      </c>
      <c r="C54" t="s">
        <v>93</v>
      </c>
      <c r="D54" s="126" t="s">
        <v>82</v>
      </c>
      <c r="E54" s="1"/>
      <c r="F54" s="113">
        <v>6</v>
      </c>
      <c r="G54" t="s">
        <v>94</v>
      </c>
      <c r="H54" s="126" t="s">
        <v>50</v>
      </c>
      <c r="I54" s="95"/>
      <c r="J54" s="96"/>
      <c r="K54" s="194" t="s">
        <v>112</v>
      </c>
      <c r="L54" s="194"/>
      <c r="M54" s="96"/>
      <c r="N54" s="194" t="s">
        <v>113</v>
      </c>
      <c r="O54" s="195"/>
      <c r="P54" s="130"/>
      <c r="Q54" s="130"/>
      <c r="R54" s="1"/>
      <c r="S54" s="1"/>
    </row>
    <row r="55" spans="1:19" x14ac:dyDescent="0.25">
      <c r="A55" s="1"/>
      <c r="B55" s="96"/>
      <c r="C55" s="1"/>
      <c r="D55" s="1"/>
      <c r="E55" s="1"/>
      <c r="F55" s="113">
        <v>7</v>
      </c>
      <c r="G55" t="s">
        <v>95</v>
      </c>
      <c r="H55" s="126" t="s">
        <v>82</v>
      </c>
      <c r="I55" s="95"/>
      <c r="J55" s="131"/>
      <c r="K55" s="196"/>
      <c r="L55" s="196"/>
      <c r="M55" s="96"/>
      <c r="N55" s="194"/>
      <c r="O55" s="195"/>
      <c r="P55" s="130"/>
      <c r="Q55" s="130"/>
      <c r="R55" s="1"/>
      <c r="S55" s="1"/>
    </row>
    <row r="56" spans="1:19" x14ac:dyDescent="0.25">
      <c r="A56" s="1"/>
      <c r="B56" s="96"/>
      <c r="C56" s="194" t="s">
        <v>113</v>
      </c>
      <c r="D56" s="194"/>
      <c r="E56" s="194"/>
      <c r="F56" s="113">
        <v>8</v>
      </c>
      <c r="G56" t="s">
        <v>96</v>
      </c>
      <c r="H56" s="126" t="s">
        <v>82</v>
      </c>
      <c r="I56" s="95"/>
      <c r="J56" s="1"/>
      <c r="K56" s="1"/>
      <c r="L56" s="1"/>
      <c r="M56" s="106"/>
      <c r="N56" s="196"/>
      <c r="O56" s="197"/>
      <c r="P56" s="1"/>
      <c r="Q56" s="1"/>
      <c r="R56" s="1"/>
      <c r="S56" s="1"/>
    </row>
    <row r="57" spans="1:19" x14ac:dyDescent="0.25">
      <c r="A57" s="1"/>
      <c r="B57" s="106"/>
      <c r="C57" s="196"/>
      <c r="D57" s="196"/>
      <c r="E57" s="196"/>
      <c r="F57" s="113">
        <v>9</v>
      </c>
      <c r="G57" t="s">
        <v>97</v>
      </c>
      <c r="H57" s="126" t="s">
        <v>82</v>
      </c>
      <c r="I57" s="95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13">
        <v>10</v>
      </c>
      <c r="G58" t="s">
        <v>101</v>
      </c>
      <c r="H58" s="126" t="s">
        <v>87</v>
      </c>
      <c r="I58" s="95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13">
        <v>11</v>
      </c>
      <c r="G59" t="s">
        <v>102</v>
      </c>
      <c r="H59" s="126" t="s">
        <v>87</v>
      </c>
      <c r="I59" s="95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13">
        <v>12</v>
      </c>
      <c r="G60" t="s">
        <v>103</v>
      </c>
      <c r="H60" s="126" t="s">
        <v>87</v>
      </c>
      <c r="I60" s="95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13">
        <v>13</v>
      </c>
      <c r="G61" t="s">
        <v>104</v>
      </c>
      <c r="H61" s="1" t="s">
        <v>111</v>
      </c>
      <c r="I61" s="95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13">
        <v>14</v>
      </c>
      <c r="G62" t="s">
        <v>105</v>
      </c>
      <c r="H62" s="1" t="s">
        <v>111</v>
      </c>
      <c r="I62" s="95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13">
        <v>15</v>
      </c>
      <c r="G63" t="s">
        <v>106</v>
      </c>
      <c r="H63" s="1" t="s">
        <v>111</v>
      </c>
      <c r="I63" s="95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96"/>
      <c r="G64" s="1"/>
      <c r="H64" s="1"/>
      <c r="I64" s="95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96"/>
      <c r="G65" s="194" t="s">
        <v>114</v>
      </c>
      <c r="H65" s="194"/>
      <c r="I65" s="195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06"/>
      <c r="G66" s="196"/>
      <c r="H66" s="196"/>
      <c r="I66" s="197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24"/>
      <c r="D69" s="94"/>
      <c r="E69" s="94"/>
      <c r="F69" s="94"/>
      <c r="G69" s="94"/>
      <c r="H69" s="94"/>
      <c r="I69" s="94"/>
      <c r="J69" s="87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1"/>
      <c r="C70" s="132" t="s">
        <v>115</v>
      </c>
      <c r="D70" s="1"/>
      <c r="E70" s="1"/>
      <c r="F70" s="1"/>
      <c r="G70" s="1"/>
      <c r="H70" s="1"/>
      <c r="I70" s="1"/>
      <c r="J70" s="95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"/>
      <c r="C71" s="96" t="s">
        <v>116</v>
      </c>
      <c r="D71" s="1"/>
      <c r="E71" s="133">
        <v>2</v>
      </c>
      <c r="F71" s="1" t="s">
        <v>117</v>
      </c>
      <c r="G71" s="1"/>
      <c r="H71" s="1"/>
      <c r="I71" s="1"/>
      <c r="J71" s="95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96" t="s">
        <v>118</v>
      </c>
      <c r="D72" s="1"/>
      <c r="E72" s="1"/>
      <c r="F72" s="1"/>
      <c r="G72" s="1"/>
      <c r="H72" s="1"/>
      <c r="I72" s="1"/>
      <c r="J72" s="95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96"/>
      <c r="D73" s="1"/>
      <c r="E73" s="1"/>
      <c r="F73" s="2">
        <v>0.1</v>
      </c>
      <c r="G73" s="1" t="s">
        <v>61</v>
      </c>
      <c r="H73" s="134">
        <f>$AL$74*F73</f>
        <v>0</v>
      </c>
      <c r="I73" s="1"/>
      <c r="J73" s="95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"/>
      <c r="C74" s="96"/>
      <c r="D74" s="1"/>
      <c r="E74" s="1"/>
      <c r="F74" s="1">
        <v>0.12</v>
      </c>
      <c r="G74" s="1"/>
      <c r="H74" s="134">
        <f>$AL$74*F74</f>
        <v>0</v>
      </c>
      <c r="I74" s="1"/>
      <c r="J74" s="95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"/>
      <c r="C75" s="96"/>
      <c r="D75" s="1"/>
      <c r="E75" s="1"/>
      <c r="F75" s="2">
        <v>1</v>
      </c>
      <c r="G75" s="1"/>
      <c r="H75" s="134">
        <f>$AL$74*F75</f>
        <v>0</v>
      </c>
      <c r="I75" s="1"/>
      <c r="J75" s="95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"/>
      <c r="C76" s="96"/>
      <c r="D76" s="1"/>
      <c r="E76" s="1"/>
      <c r="F76" s="2">
        <v>1.5</v>
      </c>
      <c r="G76" s="1"/>
      <c r="H76" s="134">
        <f>$AL$74*F76</f>
        <v>0</v>
      </c>
      <c r="I76" s="1"/>
      <c r="J76" s="95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96"/>
      <c r="D77" s="1"/>
      <c r="E77" s="1"/>
      <c r="F77" s="2">
        <v>0.5</v>
      </c>
      <c r="G77" s="1"/>
      <c r="H77" s="134">
        <f>$AL$74*F77</f>
        <v>0</v>
      </c>
      <c r="I77" s="1"/>
      <c r="J77" s="95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"/>
      <c r="C78" s="106"/>
      <c r="D78" s="107"/>
      <c r="E78" s="107"/>
      <c r="F78" s="107"/>
      <c r="G78" s="107"/>
      <c r="H78" s="107"/>
      <c r="I78" s="107"/>
      <c r="J78" s="105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</sheetData>
  <mergeCells count="15">
    <mergeCell ref="G65:I66"/>
    <mergeCell ref="O19:P20"/>
    <mergeCell ref="K31:M32"/>
    <mergeCell ref="O31:Q32"/>
    <mergeCell ref="C32:E33"/>
    <mergeCell ref="G41:I42"/>
    <mergeCell ref="K54:L55"/>
    <mergeCell ref="N54:O56"/>
    <mergeCell ref="C56:E57"/>
    <mergeCell ref="K12:L12"/>
    <mergeCell ref="J14:K14"/>
    <mergeCell ref="C18:D18"/>
    <mergeCell ref="C19:D21"/>
    <mergeCell ref="G19:H21"/>
    <mergeCell ref="K19:L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3AE4-5F94-4083-ACE9-4592DCB310D3}">
  <dimension ref="B2:C26"/>
  <sheetViews>
    <sheetView workbookViewId="0">
      <selection activeCell="B2" sqref="B2:C26"/>
    </sheetView>
  </sheetViews>
  <sheetFormatPr defaultRowHeight="15" x14ac:dyDescent="0.25"/>
  <sheetData>
    <row r="2" spans="2:3" x14ac:dyDescent="0.25">
      <c r="B2" s="67">
        <f>RoadMapEURUSD!Q16*RoadMapEURUSD!T16*10</f>
        <v>217.43988693125883</v>
      </c>
      <c r="C2" s="68">
        <f>RoadMapEURUSD!U16*RoadMapEURUSD!$Q$9</f>
        <v>8.3902000000000001</v>
      </c>
    </row>
    <row r="3" spans="2:3" x14ac:dyDescent="0.25">
      <c r="B3" s="67">
        <f>RoadMapEURUSD!Q17*RoadMapEURUSD!T17*10</f>
        <v>144.95992462083922</v>
      </c>
      <c r="C3" s="68">
        <f>RoadMapEURUSD!U17*RoadMapEURUSD!$Q$9</f>
        <v>8.3902000000000001</v>
      </c>
    </row>
    <row r="4" spans="2:3" x14ac:dyDescent="0.25">
      <c r="B4" s="67">
        <f>RoadMapEURUSD!Q18*RoadMapEURUSD!T18*10</f>
        <v>217.43988693125883</v>
      </c>
      <c r="C4" s="68">
        <f>RoadMapEURUSD!U18*RoadMapEURUSD!$Q$9</f>
        <v>8.3902000000000001</v>
      </c>
    </row>
    <row r="5" spans="2:3" x14ac:dyDescent="0.25">
      <c r="B5" s="67">
        <f>RoadMapEURUSD!Q19*RoadMapEURUSD!T19*10</f>
        <v>144.95992462083922</v>
      </c>
      <c r="C5" s="68">
        <f>RoadMapEURUSD!U19*RoadMapEURUSD!$Q$9</f>
        <v>8.3902000000000001</v>
      </c>
    </row>
    <row r="6" spans="2:3" x14ac:dyDescent="0.25">
      <c r="B6" s="67">
        <f>RoadMapEURUSD!Q20*RoadMapEURUSD!T20*10</f>
        <v>217.43988693125883</v>
      </c>
      <c r="C6" s="68">
        <f>RoadMapEURUSD!U20*RoadMapEURUSD!$Q$9</f>
        <v>8.3902000000000001</v>
      </c>
    </row>
    <row r="7" spans="2:3" x14ac:dyDescent="0.25">
      <c r="B7" s="67">
        <f>RoadMapEURUSD!Q21*RoadMapEURUSD!T21*10</f>
        <v>144.95992462083922</v>
      </c>
      <c r="C7" s="68">
        <f>RoadMapEURUSD!U21*RoadMapEURUSD!$Q$9</f>
        <v>8.3902000000000001</v>
      </c>
    </row>
    <row r="8" spans="2:3" x14ac:dyDescent="0.25">
      <c r="B8" s="67">
        <f>RoadMapEURUSD!Q22*RoadMapEURUSD!T22*10</f>
        <v>217.43988693125883</v>
      </c>
      <c r="C8" s="68">
        <f>RoadMapEURUSD!U22*RoadMapEURUSD!$Q$9</f>
        <v>8.3902000000000001</v>
      </c>
    </row>
    <row r="9" spans="2:3" x14ac:dyDescent="0.25">
      <c r="B9" s="67">
        <f>RoadMapEURUSD!Q23*RoadMapEURUSD!T23*10</f>
        <v>144.95992462083922</v>
      </c>
      <c r="C9" s="68">
        <f>RoadMapEURUSD!U23*RoadMapEURUSD!$Q$9</f>
        <v>8.3902000000000001</v>
      </c>
    </row>
    <row r="10" spans="2:3" x14ac:dyDescent="0.25">
      <c r="B10" s="67">
        <f>RoadMapEURUSD!Q24*RoadMapEURUSD!T24*10</f>
        <v>217.43988693125883</v>
      </c>
      <c r="C10" s="68">
        <f>RoadMapEURUSD!U24*RoadMapEURUSD!$Q$9</f>
        <v>8.3902000000000001</v>
      </c>
    </row>
    <row r="11" spans="2:3" x14ac:dyDescent="0.25">
      <c r="B11" s="67">
        <f>RoadMapEURUSD!Q25*RoadMapEURUSD!T25*10</f>
        <v>144.95992462083922</v>
      </c>
      <c r="C11" s="68">
        <f>RoadMapEURUSD!U25*RoadMapEURUSD!$Q$9</f>
        <v>8.3902000000000001</v>
      </c>
    </row>
    <row r="12" spans="2:3" x14ac:dyDescent="0.25">
      <c r="B12" s="67">
        <f>RoadMapEURUSD!Q26*RoadMapEURUSD!T26*10</f>
        <v>217.43988693125883</v>
      </c>
      <c r="C12" s="68">
        <f>RoadMapEURUSD!U26*RoadMapEURUSD!$Q$9</f>
        <v>8.3902000000000001</v>
      </c>
    </row>
    <row r="13" spans="2:3" x14ac:dyDescent="0.25">
      <c r="B13" s="67">
        <f>RoadMapEURUSD!Q27*RoadMapEURUSD!T27*10</f>
        <v>144.95992462083922</v>
      </c>
      <c r="C13" s="68">
        <f>RoadMapEURUSD!U27*RoadMapEURUSD!$Q$9</f>
        <v>8.3902000000000001</v>
      </c>
    </row>
    <row r="14" spans="2:3" x14ac:dyDescent="0.25">
      <c r="B14" s="67">
        <f>RoadMapEURUSD!Q28*RoadMapEURUSD!T28*10</f>
        <v>217.43988693125883</v>
      </c>
      <c r="C14" s="68">
        <f>RoadMapEURUSD!U28*RoadMapEURUSD!$Q$9</f>
        <v>8.3902000000000001</v>
      </c>
    </row>
    <row r="15" spans="2:3" x14ac:dyDescent="0.25">
      <c r="B15" s="67">
        <f>RoadMapEURUSD!Q29*RoadMapEURUSD!T29*10</f>
        <v>144.95992462083922</v>
      </c>
      <c r="C15" s="68">
        <f>RoadMapEURUSD!U29*RoadMapEURUSD!$Q$9</f>
        <v>8.3902000000000001</v>
      </c>
    </row>
    <row r="16" spans="2:3" x14ac:dyDescent="0.25">
      <c r="B16" s="67">
        <f>RoadMapEURUSD!Q30*RoadMapEURUSD!T30*10</f>
        <v>217.43988693125883</v>
      </c>
      <c r="C16" s="68">
        <f>RoadMapEURUSD!U30*RoadMapEURUSD!$Q$9</f>
        <v>8.3902000000000001</v>
      </c>
    </row>
    <row r="17" spans="2:3" x14ac:dyDescent="0.25">
      <c r="B17" s="67">
        <f>RoadMapEURUSD!Q31*RoadMapEURUSD!T31*10</f>
        <v>144.95992462083922</v>
      </c>
      <c r="C17" s="68">
        <f>RoadMapEURUSD!U31*RoadMapEURUSD!$Q$9</f>
        <v>8.3902000000000001</v>
      </c>
    </row>
    <row r="18" spans="2:3" x14ac:dyDescent="0.25">
      <c r="B18" s="67">
        <f>RoadMapEURUSD!Q32*RoadMapEURUSD!T32*10</f>
        <v>217.43988693125883</v>
      </c>
      <c r="C18" s="68">
        <f>RoadMapEURUSD!U32*RoadMapEURUSD!$Q$9</f>
        <v>8.3902000000000001</v>
      </c>
    </row>
    <row r="19" spans="2:3" x14ac:dyDescent="0.25">
      <c r="B19" s="67">
        <f>RoadMapEURUSD!Q33*RoadMapEURUSD!T33*10</f>
        <v>144.95992462083922</v>
      </c>
      <c r="C19" s="68">
        <f>RoadMapEURUSD!U33*RoadMapEURUSD!$Q$9</f>
        <v>8.3902000000000001</v>
      </c>
    </row>
    <row r="20" spans="2:3" x14ac:dyDescent="0.25">
      <c r="B20" s="67">
        <f>RoadMapEURUSD!Q34*RoadMapEURUSD!T34*10</f>
        <v>217.43988693125883</v>
      </c>
      <c r="C20" s="68">
        <f>RoadMapEURUSD!U34*RoadMapEURUSD!$Q$9</f>
        <v>8.3902000000000001</v>
      </c>
    </row>
    <row r="21" spans="2:3" x14ac:dyDescent="0.25">
      <c r="B21" s="67">
        <f>RoadMapEURUSD!Q35*RoadMapEURUSD!T35*10</f>
        <v>144.95992462083922</v>
      </c>
      <c r="C21" s="68">
        <f>RoadMapEURUSD!U35*RoadMapEURUSD!$Q$9</f>
        <v>8.3902000000000001</v>
      </c>
    </row>
    <row r="22" spans="2:3" x14ac:dyDescent="0.25">
      <c r="B22" s="67">
        <f>RoadMapEURUSD!Q36*RoadMapEURUSD!T36*10</f>
        <v>217.43988693125883</v>
      </c>
      <c r="C22" s="68">
        <f>RoadMapEURUSD!U36*RoadMapEURUSD!$Q$9</f>
        <v>8.3902000000000001</v>
      </c>
    </row>
    <row r="23" spans="2:3" x14ac:dyDescent="0.25">
      <c r="B23" s="67">
        <f>RoadMapEURUSD!Q37*RoadMapEURUSD!T37*10</f>
        <v>144.95992462083922</v>
      </c>
      <c r="C23" s="68">
        <f>RoadMapEURUSD!U37*RoadMapEURUSD!$Q$9</f>
        <v>8.3902000000000001</v>
      </c>
    </row>
    <row r="24" spans="2:3" x14ac:dyDescent="0.25">
      <c r="B24" s="67">
        <f>RoadMapEURUSD!Q38*RoadMapEURUSD!T38*10</f>
        <v>217.43988693125883</v>
      </c>
      <c r="C24" s="68">
        <f>RoadMapEURUSD!U38*RoadMapEURUSD!$Q$9</f>
        <v>8.3902000000000001</v>
      </c>
    </row>
    <row r="25" spans="2:3" x14ac:dyDescent="0.25">
      <c r="B25" s="67">
        <f>RoadMapEURUSD!Q39*RoadMapEURUSD!T39*10</f>
        <v>144.95992462083922</v>
      </c>
      <c r="C25" s="68">
        <f>RoadMapEURUSD!U39*RoadMapEURUSD!$Q$9</f>
        <v>8.3902000000000001</v>
      </c>
    </row>
    <row r="26" spans="2:3" x14ac:dyDescent="0.25">
      <c r="B26" s="67">
        <f>RoadMapEURUSD!Q40*RoadMapEURUSD!T40*10</f>
        <v>217.43988693125883</v>
      </c>
      <c r="C26" s="68">
        <f>RoadMapEURUSD!U40*RoadMapEURUSD!$Q$9</f>
        <v>8.3902000000000001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RoadMapEURUSD</vt:lpstr>
      <vt:lpstr>Math</vt:lpstr>
      <vt:lpstr>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Boyan Atanassov</dc:creator>
  <cp:lastModifiedBy>Boyan Atanassov</cp:lastModifiedBy>
  <cp:lastPrinted>2022-07-23T07:46:16Z</cp:lastPrinted>
  <dcterms:created xsi:type="dcterms:W3CDTF">2020-12-07T15:29:16Z</dcterms:created>
  <dcterms:modified xsi:type="dcterms:W3CDTF">2024-11-06T05:56:12Z</dcterms:modified>
</cp:coreProperties>
</file>